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can\dpellat\KARDYNAL\Feuilles de travail\"/>
    </mc:Choice>
  </mc:AlternateContent>
  <xr:revisionPtr revIDLastSave="0" documentId="13_ncr:1_{A451CFDD-7C9A-4FEC-9096-130C52F26310}" xr6:coauthVersionLast="47" xr6:coauthVersionMax="47" xr10:uidLastSave="{00000000-0000-0000-0000-000000000000}"/>
  <bookViews>
    <workbookView xWindow="28680" yWindow="-120" windowWidth="29040" windowHeight="15840" xr2:uid="{1A5D749B-BBA6-417A-80D3-135FBE66E0C4}"/>
  </bookViews>
  <sheets>
    <sheet name="Simulation location" sheetId="3" r:id="rId1"/>
    <sheet name="Simulation achat" sheetId="1" r:id="rId2"/>
    <sheet name="Sources info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H21" i="1"/>
  <c r="H22" i="3"/>
  <c r="H20" i="1"/>
  <c r="H21" i="3"/>
  <c r="B30" i="3"/>
  <c r="E9" i="1"/>
  <c r="B23" i="1"/>
  <c r="E20" i="1"/>
  <c r="E20" i="3"/>
  <c r="E23" i="3" s="1"/>
  <c r="E24" i="3" s="1"/>
  <c r="E25" i="3" s="1"/>
  <c r="E35" i="3" l="1"/>
  <c r="E36" i="3"/>
  <c r="E43" i="3"/>
  <c r="E47" i="3"/>
  <c r="E48" i="3"/>
  <c r="E42" i="3"/>
  <c r="E30" i="3"/>
  <c r="E31" i="3"/>
  <c r="E21" i="3"/>
  <c r="E14" i="1" l="1"/>
  <c r="E13" i="1"/>
  <c r="E12" i="1"/>
  <c r="H15" i="1"/>
  <c r="H14" i="1"/>
  <c r="H13" i="1"/>
  <c r="H11" i="1"/>
  <c r="H10" i="1"/>
  <c r="H9" i="1"/>
  <c r="H8" i="1"/>
  <c r="E8" i="1"/>
  <c r="B20" i="1"/>
  <c r="H14" i="3"/>
  <c r="E7" i="3"/>
  <c r="H13" i="3"/>
  <c r="H16" i="3"/>
  <c r="H15" i="3"/>
  <c r="E14" i="3"/>
  <c r="E13" i="3"/>
  <c r="E8" i="3"/>
  <c r="H9" i="3"/>
  <c r="E12" i="3"/>
  <c r="E15" i="3" s="1"/>
  <c r="E16" i="3" s="1"/>
  <c r="B20" i="3"/>
  <c r="E7" i="1"/>
  <c r="B28" i="3"/>
  <c r="E22" i="3" s="1"/>
  <c r="B16" i="3"/>
  <c r="H8" i="3"/>
  <c r="H10" i="3" s="1"/>
  <c r="H17" i="3" l="1"/>
  <c r="H18" i="3" s="1"/>
  <c r="E10" i="3"/>
  <c r="E17" i="3" s="1"/>
  <c r="E44" i="3" l="1"/>
  <c r="H23" i="3"/>
  <c r="E32" i="3" l="1"/>
  <c r="E49" i="3"/>
  <c r="E37" i="3"/>
  <c r="H24" i="3"/>
  <c r="E15" i="1" l="1"/>
  <c r="E16" i="1" s="1"/>
  <c r="E10" i="1"/>
  <c r="B27" i="1"/>
  <c r="B28" i="1" s="1"/>
  <c r="B30" i="1" s="1"/>
  <c r="E22" i="1" l="1"/>
  <c r="E23" i="1"/>
  <c r="E25" i="1" s="1"/>
  <c r="E21" i="1"/>
  <c r="H22" i="1"/>
  <c r="E17" i="1"/>
  <c r="H16" i="1"/>
  <c r="H17" i="1" s="1"/>
  <c r="E43" i="1" l="1"/>
  <c r="E48" i="1"/>
  <c r="E31" i="1"/>
  <c r="E30" i="1"/>
  <c r="E36" i="1"/>
  <c r="E42" i="1"/>
  <c r="E47" i="1"/>
  <c r="E35" i="1"/>
  <c r="H23" i="1"/>
  <c r="E37" i="1" l="1"/>
  <c r="E32" i="1"/>
  <c r="E49" i="1"/>
  <c r="E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Doriane PELLAT</author>
  </authors>
  <commentList>
    <comment ref="E7" authorId="0" shapeId="0" xr:uid="{E8A618F2-7C34-46B1-928A-02144CF7DD10}">
      <text>
        <r>
          <rPr>
            <b/>
            <sz val="9"/>
            <color indexed="81"/>
            <rFont val="Tahoma"/>
            <charset val="1"/>
          </rPr>
          <t>Doriane PELLAT:</t>
        </r>
        <r>
          <rPr>
            <sz val="9"/>
            <color indexed="81"/>
            <rFont val="Tahoma"/>
            <charset val="1"/>
          </rPr>
          <t xml:space="preserve">
Tient compte des 4000 € TTC de 1er loyer financier majoré</t>
        </r>
      </text>
    </comment>
    <comment ref="B13" authorId="0" shapeId="0" xr:uid="{51FF06B2-7401-4470-8902-EC3700F238D1}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AUTRE</t>
        </r>
        <r>
          <rPr>
            <sz val="9"/>
            <color indexed="81"/>
            <rFont val="Tahoma"/>
            <charset val="1"/>
          </rPr>
          <t xml:space="preserve"> = véhicule</t>
        </r>
        <r>
          <rPr>
            <b/>
            <sz val="9"/>
            <color indexed="81"/>
            <rFont val="Tahoma"/>
            <family val="2"/>
          </rPr>
          <t xml:space="preserve"> Eléctrique exclusivement</t>
        </r>
        <r>
          <rPr>
            <sz val="9"/>
            <color indexed="81"/>
            <rFont val="Tahoma"/>
            <charset val="1"/>
          </rPr>
          <t xml:space="preserve">
En cas d’</t>
        </r>
        <r>
          <rPr>
            <b/>
            <sz val="9"/>
            <color indexed="81"/>
            <rFont val="Tahoma"/>
            <family val="2"/>
          </rPr>
          <t>hybride</t>
        </r>
        <r>
          <rPr>
            <sz val="9"/>
            <color indexed="81"/>
            <rFont val="Tahoma"/>
            <charset val="1"/>
          </rPr>
          <t xml:space="preserve">, </t>
        </r>
        <r>
          <rPr>
            <b/>
            <sz val="9"/>
            <color indexed="81"/>
            <rFont val="Tahoma"/>
            <family val="2"/>
          </rPr>
          <t>sélectionne</t>
        </r>
        <r>
          <rPr>
            <sz val="9"/>
            <color indexed="81"/>
            <rFont val="Tahoma"/>
            <charset val="1"/>
          </rPr>
          <t>r le</t>
        </r>
        <r>
          <rPr>
            <b/>
            <sz val="9"/>
            <color indexed="81"/>
            <rFont val="Tahoma"/>
            <family val="2"/>
          </rPr>
          <t xml:space="preserve"> type de carburant</t>
        </r>
        <r>
          <rPr>
            <sz val="9"/>
            <color indexed="81"/>
            <rFont val="Tahoma"/>
            <charset val="1"/>
          </rPr>
          <t xml:space="preserve"> du véhicule</t>
        </r>
      </text>
    </comment>
    <comment ref="B16" authorId="0" shapeId="0" xr:uid="{01AA8E00-DD06-4B05-8E4D-A2996B4C9411}">
      <text>
        <r>
          <rPr>
            <b/>
            <sz val="9"/>
            <color indexed="81"/>
            <rFont val="Tahoma"/>
            <charset val="1"/>
          </rPr>
          <t>Doriane PELLAT:</t>
        </r>
        <r>
          <rPr>
            <sz val="9"/>
            <color indexed="81"/>
            <rFont val="Tahoma"/>
            <charset val="1"/>
          </rPr>
          <t xml:space="preserve">
Prix référence constructeur + options</t>
        </r>
      </text>
    </comment>
    <comment ref="B22" authorId="0" shapeId="0" xr:uid="{57CB2606-62EE-4C8A-9606-B2E195A769AE}">
      <text>
        <r>
          <rPr>
            <b/>
            <sz val="9"/>
            <color indexed="81"/>
            <rFont val="Tahoma"/>
            <family val="2"/>
          </rPr>
          <t>Doriane PELLAT:</t>
        </r>
        <r>
          <rPr>
            <sz val="9"/>
            <color indexed="81"/>
            <rFont val="Tahoma"/>
            <family val="2"/>
          </rPr>
          <t xml:space="preserve">
estimé à 0 € car neuf
</t>
        </r>
      </text>
    </comment>
    <comment ref="H22" authorId="0" shapeId="0" xr:uid="{BF559A79-E8FE-44DB-A058-6ECBCC0AC8CF}">
      <text>
        <r>
          <rPr>
            <b/>
            <sz val="9"/>
            <color indexed="81"/>
            <rFont val="Tahoma"/>
            <family val="2"/>
          </rPr>
          <t>Doriane PELLAT:</t>
        </r>
        <r>
          <rPr>
            <sz val="9"/>
            <color indexed="81"/>
            <rFont val="Tahoma"/>
            <family val="2"/>
          </rPr>
          <t xml:space="preserve">
*0,3 - 1076 = AN caclulé à 30% des charges annuelles du véhicule
- réduction pour véhicule électrique
*0,84 = pour tenir compte des charges patronales</t>
        </r>
      </text>
    </comment>
    <comment ref="B23" authorId="0" shapeId="0" xr:uid="{46CDFDD4-55F9-4C33-A8A1-E8377A2FBB65}">
      <text>
        <r>
          <rPr>
            <b/>
            <sz val="9"/>
            <color indexed="81"/>
            <rFont val="Tahoma"/>
            <family val="2"/>
          </rPr>
          <t>Doriane PELLAT:</t>
        </r>
        <r>
          <rPr>
            <sz val="9"/>
            <color indexed="81"/>
            <rFont val="Tahoma"/>
            <family val="2"/>
          </rPr>
          <t xml:space="preserve">
0 € car véhicule électrique</t>
        </r>
      </text>
    </comment>
    <comment ref="E30" authorId="0" shapeId="0" xr:uid="{4D0F8F56-6A79-4570-B2C3-94D6D860BEB2}">
      <text>
        <r>
          <rPr>
            <b/>
            <sz val="9"/>
            <color indexed="81"/>
            <rFont val="Tahoma"/>
            <charset val="1"/>
          </rPr>
          <t>Doriane PELLAT:</t>
        </r>
        <r>
          <rPr>
            <sz val="9"/>
            <color indexed="81"/>
            <rFont val="Tahoma"/>
            <charset val="1"/>
          </rPr>
          <t xml:space="preserve">
*0,85 = pour tenir compte de l'économie d'IS pour la société</t>
        </r>
      </text>
    </comment>
    <comment ref="E31" authorId="0" shapeId="0" xr:uid="{BF286B48-7700-440D-A97B-BC5996BD9963}">
      <text>
        <r>
          <rPr>
            <b/>
            <sz val="9"/>
            <color indexed="81"/>
            <rFont val="Tahoma"/>
            <family val="2"/>
          </rPr>
          <t>Doriane PELLAT:</t>
        </r>
        <r>
          <rPr>
            <sz val="9"/>
            <color indexed="81"/>
            <rFont val="Tahoma"/>
            <family val="2"/>
          </rPr>
          <t xml:space="preserve">
/0,7 = pour obtenir le net avant IRPP (ici  hypothèse d'un taux marginal d'imposition à 30 %)
*1,84 = rémunération brute avec charges patronales
*0,85 = pour tenir compte de l'économie d'IS pour la société</t>
        </r>
      </text>
    </comment>
    <comment ref="E35" authorId="0" shapeId="0" xr:uid="{0807CEEE-4191-493C-AD34-3CFBCDCFC0D3}">
      <text>
        <r>
          <rPr>
            <b/>
            <sz val="9"/>
            <color indexed="81"/>
            <rFont val="Tahoma"/>
            <family val="2"/>
          </rPr>
          <t>Doriane PELLAT:</t>
        </r>
        <r>
          <rPr>
            <sz val="9"/>
            <color indexed="81"/>
            <rFont val="Tahoma"/>
            <family val="2"/>
          </rPr>
          <t xml:space="preserve">
*0,85 = pour tenir compte de l'économie d'IS pour la société</t>
        </r>
      </text>
    </comment>
    <comment ref="E36" authorId="0" shapeId="0" xr:uid="{0DC8E4C4-F29D-4020-8219-5592893CEB22}">
      <text>
        <r>
          <rPr>
            <b/>
            <sz val="9"/>
            <color indexed="81"/>
            <rFont val="Tahoma"/>
            <family val="2"/>
          </rPr>
          <t>Doriane PELLAT:</t>
        </r>
        <r>
          <rPr>
            <sz val="9"/>
            <color indexed="81"/>
            <rFont val="Tahoma"/>
            <family val="2"/>
          </rPr>
          <t xml:space="preserve">
/0,7 = pour obtenir le net avant IRPP (ici  hypothèse d'un taux marginal d'imposition à 30 %)
/0,85 = pour tenir compte de l'IS à payer avant versement du dividende</t>
        </r>
      </text>
    </comment>
    <comment ref="E42" authorId="0" shapeId="0" xr:uid="{3E38DAFA-7C37-43B6-9F5C-85B5F3AF5A69}">
      <text>
        <r>
          <rPr>
            <b/>
            <sz val="9"/>
            <color indexed="81"/>
            <rFont val="Tahoma"/>
            <charset val="1"/>
          </rPr>
          <t>Doriane PELLAT:</t>
        </r>
        <r>
          <rPr>
            <sz val="9"/>
            <color indexed="81"/>
            <rFont val="Tahoma"/>
            <charset val="1"/>
          </rPr>
          <t xml:space="preserve">
*0,85 = pour tenir compte de l'économie d'IS pour la société</t>
        </r>
      </text>
    </comment>
    <comment ref="E43" authorId="0" shapeId="0" xr:uid="{99A525BC-A2D2-4958-BE93-6E5ACCB41C8E}">
      <text>
        <r>
          <rPr>
            <b/>
            <sz val="9"/>
            <color indexed="81"/>
            <rFont val="Tahoma"/>
            <family val="2"/>
          </rPr>
          <t>Doriane PELLAT:</t>
        </r>
        <r>
          <rPr>
            <sz val="9"/>
            <color indexed="81"/>
            <rFont val="Tahoma"/>
            <family val="2"/>
          </rPr>
          <t xml:space="preserve">
/0,7 = pour obtenir le net avant IRPP (ici  hypothèse d'un taux marginal d'imposition à 30 %)
*1,45 = rémunération brute avec charges d'URSSAF/SSI
*0,85 = pour tenir compte de l'économie d'IS pour la société</t>
        </r>
      </text>
    </comment>
    <comment ref="E47" authorId="0" shapeId="0" xr:uid="{E1052873-7659-4265-8D2C-E16D6BDA6E22}">
      <text>
        <r>
          <rPr>
            <b/>
            <sz val="9"/>
            <color indexed="81"/>
            <rFont val="Tahoma"/>
            <family val="2"/>
          </rPr>
          <t>Doriane PELLAT:</t>
        </r>
        <r>
          <rPr>
            <sz val="9"/>
            <color indexed="81"/>
            <rFont val="Tahoma"/>
            <family val="2"/>
          </rPr>
          <t xml:space="preserve">
*0,85 = pour tenir compte de l'économie d'IS pour la société</t>
        </r>
      </text>
    </comment>
    <comment ref="E48" authorId="0" shapeId="0" xr:uid="{26F75378-EC48-46FB-B2E8-3CE94D9E2DB5}">
      <text>
        <r>
          <rPr>
            <b/>
            <sz val="9"/>
            <color indexed="81"/>
            <rFont val="Tahoma"/>
            <family val="2"/>
          </rPr>
          <t>Doriane PELLAT:</t>
        </r>
        <r>
          <rPr>
            <sz val="9"/>
            <color indexed="81"/>
            <rFont val="Tahoma"/>
            <family val="2"/>
          </rPr>
          <t xml:space="preserve">
/0,7 = pour obtenir le net avant IRPP (ici  hypothèse d'un taux marginal d'imposition à 30 %)
/0,85 = pour tenir compte de l'IS à payer avant versement du dividende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Doriane PELLAT</author>
  </authors>
  <commentList>
    <comment ref="B13" authorId="0" shapeId="0" xr:uid="{7BB4A13C-D8D8-4CA3-830F-104B10433751}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AUTRE </t>
        </r>
        <r>
          <rPr>
            <sz val="9"/>
            <color indexed="81"/>
            <rFont val="Tahoma"/>
            <charset val="1"/>
          </rPr>
          <t xml:space="preserve">= véhicule </t>
        </r>
        <r>
          <rPr>
            <b/>
            <sz val="9"/>
            <color indexed="81"/>
            <rFont val="Tahoma"/>
            <family val="2"/>
          </rPr>
          <t>Eléctrique exclusivement</t>
        </r>
        <r>
          <rPr>
            <sz val="9"/>
            <color indexed="81"/>
            <rFont val="Tahoma"/>
            <charset val="1"/>
          </rPr>
          <t xml:space="preserve">
En cas d’</t>
        </r>
        <r>
          <rPr>
            <b/>
            <sz val="9"/>
            <color indexed="81"/>
            <rFont val="Tahoma"/>
            <family val="2"/>
          </rPr>
          <t>hybride</t>
        </r>
        <r>
          <rPr>
            <sz val="9"/>
            <color indexed="81"/>
            <rFont val="Tahoma"/>
            <charset val="1"/>
          </rPr>
          <t xml:space="preserve">, </t>
        </r>
        <r>
          <rPr>
            <b/>
            <sz val="9"/>
            <color indexed="81"/>
            <rFont val="Tahoma"/>
            <family val="2"/>
          </rPr>
          <t>sélectionner</t>
        </r>
        <r>
          <rPr>
            <sz val="9"/>
            <color indexed="81"/>
            <rFont val="Tahoma"/>
            <family val="2"/>
          </rPr>
          <t xml:space="preserve"> le</t>
        </r>
        <r>
          <rPr>
            <b/>
            <sz val="9"/>
            <color indexed="81"/>
            <rFont val="Tahoma"/>
            <family val="2"/>
          </rPr>
          <t xml:space="preserve"> type de carburant</t>
        </r>
        <r>
          <rPr>
            <sz val="9"/>
            <color indexed="81"/>
            <rFont val="Tahoma"/>
            <charset val="1"/>
          </rPr>
          <t xml:space="preserve"> du véhicule</t>
        </r>
      </text>
    </comment>
    <comment ref="H21" authorId="0" shapeId="0" xr:uid="{8D7B63F6-C836-4CA0-BB16-0CCD5BB53F4F}">
      <text>
        <r>
          <rPr>
            <b/>
            <sz val="9"/>
            <color indexed="81"/>
            <rFont val="Tahoma"/>
            <family val="2"/>
          </rPr>
          <t>Doriane PELLAT:</t>
        </r>
        <r>
          <rPr>
            <sz val="9"/>
            <color indexed="81"/>
            <rFont val="Tahoma"/>
            <family val="2"/>
          </rPr>
          <t xml:space="preserve">
*0,40 = AN caclulé à 40% des charges annuelles du véhicule
*0,84 = pour tenir compte des charges patronales</t>
        </r>
      </text>
    </comment>
    <comment ref="E30" authorId="0" shapeId="0" xr:uid="{408DFAD4-DF45-42E8-8803-E455D7144686}">
      <text>
        <r>
          <rPr>
            <b/>
            <sz val="9"/>
            <color indexed="81"/>
            <rFont val="Tahoma"/>
            <family val="2"/>
          </rPr>
          <t>Doriane PELLAT:</t>
        </r>
        <r>
          <rPr>
            <sz val="9"/>
            <color indexed="81"/>
            <rFont val="Tahoma"/>
            <family val="2"/>
          </rPr>
          <t xml:space="preserve">
*0,85 = pour tenir compte de l'économie d'IS pour la société</t>
        </r>
      </text>
    </comment>
    <comment ref="E31" authorId="0" shapeId="0" xr:uid="{9B1D30F6-9A63-4B43-A39C-4B01DC952F3F}">
      <text>
        <r>
          <rPr>
            <b/>
            <sz val="9"/>
            <color indexed="81"/>
            <rFont val="Tahoma"/>
            <family val="2"/>
          </rPr>
          <t>Doriane PELLAT:</t>
        </r>
        <r>
          <rPr>
            <sz val="9"/>
            <color indexed="81"/>
            <rFont val="Tahoma"/>
            <family val="2"/>
          </rPr>
          <t xml:space="preserve">
/0,7 = pour obtenir le net avant IRPP (ici  hypothèse d'un taux marginal d'imposition à 30 %)
*1,84 = rémunération brute avec charges patronales
*0,85 = pour tenir compte de l'économie d'IS pour la société</t>
        </r>
      </text>
    </comment>
    <comment ref="E35" authorId="0" shapeId="0" xr:uid="{FFAE57D5-A7D4-40A4-BAF3-0DC0BDF8AFDA}">
      <text>
        <r>
          <rPr>
            <b/>
            <sz val="9"/>
            <color indexed="81"/>
            <rFont val="Tahoma"/>
            <family val="2"/>
          </rPr>
          <t>Doriane PELLAT:</t>
        </r>
        <r>
          <rPr>
            <sz val="9"/>
            <color indexed="81"/>
            <rFont val="Tahoma"/>
            <family val="2"/>
          </rPr>
          <t xml:space="preserve">
*0,85 = pour tenir compte de l'économie d'IS pour la société</t>
        </r>
      </text>
    </comment>
    <comment ref="E36" authorId="0" shapeId="0" xr:uid="{9421B927-0670-4355-9166-78CEAC3EED9D}">
      <text>
        <r>
          <rPr>
            <b/>
            <sz val="9"/>
            <color indexed="81"/>
            <rFont val="Tahoma"/>
            <family val="2"/>
          </rPr>
          <t>Doriane PELLAT:</t>
        </r>
        <r>
          <rPr>
            <sz val="9"/>
            <color indexed="81"/>
            <rFont val="Tahoma"/>
            <family val="2"/>
          </rPr>
          <t xml:space="preserve">
/0,7 = pour obtenir le net avant IRPP (ici  hypothèse d'un taux marginal d'imposition à 30 %)
/0,85 = pour tenir compte de l'IS à payer avant versement du dividende</t>
        </r>
      </text>
    </comment>
    <comment ref="E42" authorId="0" shapeId="0" xr:uid="{C353065C-6612-4F4F-9605-941BC8126117}">
      <text>
        <r>
          <rPr>
            <b/>
            <sz val="9"/>
            <color indexed="81"/>
            <rFont val="Tahoma"/>
            <family val="2"/>
          </rPr>
          <t>Doriane PELLAT:</t>
        </r>
        <r>
          <rPr>
            <sz val="9"/>
            <color indexed="81"/>
            <rFont val="Tahoma"/>
            <family val="2"/>
          </rPr>
          <t xml:space="preserve">
*0,85 = pour tenir compte de l'économie d'IS pour la société</t>
        </r>
      </text>
    </comment>
    <comment ref="E43" authorId="0" shapeId="0" xr:uid="{115A1314-D750-4042-9FE3-0765C6E5A657}">
      <text>
        <r>
          <rPr>
            <b/>
            <sz val="9"/>
            <color indexed="81"/>
            <rFont val="Tahoma"/>
            <family val="2"/>
          </rPr>
          <t>Doriane PELLAT:</t>
        </r>
        <r>
          <rPr>
            <sz val="9"/>
            <color indexed="81"/>
            <rFont val="Tahoma"/>
            <family val="2"/>
          </rPr>
          <t xml:space="preserve">
/0,7 = pour obtenir le net avant IRPP (ici  hypothèse d'un taux marginal d'imposition à 30 %)
*1,45 = rémunération brute avec charges d'URSSAF/SSI
*0,85 = pour tenir compte de l'économie d'IS pour la société</t>
        </r>
      </text>
    </comment>
    <comment ref="E47" authorId="0" shapeId="0" xr:uid="{5BD4265B-3585-4C67-B9E9-7A4B1E072822}">
      <text>
        <r>
          <rPr>
            <b/>
            <sz val="9"/>
            <color indexed="81"/>
            <rFont val="Tahoma"/>
            <family val="2"/>
          </rPr>
          <t>Doriane PELLAT:</t>
        </r>
        <r>
          <rPr>
            <sz val="9"/>
            <color indexed="81"/>
            <rFont val="Tahoma"/>
            <family val="2"/>
          </rPr>
          <t xml:space="preserve">
*0,85 = pour tenir compte de l'économie d'IS pour la société</t>
        </r>
      </text>
    </comment>
    <comment ref="E48" authorId="0" shapeId="0" xr:uid="{DC134DFE-28BA-48D4-8317-8B8EE711B6F9}">
      <text>
        <r>
          <rPr>
            <b/>
            <sz val="9"/>
            <color indexed="81"/>
            <rFont val="Tahoma"/>
            <family val="2"/>
          </rPr>
          <t>Doriane PELLAT:</t>
        </r>
        <r>
          <rPr>
            <sz val="9"/>
            <color indexed="81"/>
            <rFont val="Tahoma"/>
            <family val="2"/>
          </rPr>
          <t xml:space="preserve">
/0,7 = pour obtenir le net avant IRPP (ici  hypothèse d'un taux marginal d'imposition à 30 %)
/0,85 = pour tenir compte de l'IS à payer avant versement du dividende</t>
        </r>
      </text>
    </comment>
  </commentList>
</comments>
</file>

<file path=xl/sharedStrings.xml><?xml version="1.0" encoding="utf-8"?>
<sst xmlns="http://schemas.openxmlformats.org/spreadsheetml/2006/main" count="227" uniqueCount="123">
  <si>
    <t>Marque</t>
  </si>
  <si>
    <t>MERCEDES</t>
  </si>
  <si>
    <t>Modèle</t>
  </si>
  <si>
    <t>AMG 35</t>
  </si>
  <si>
    <t>Immatriculation</t>
  </si>
  <si>
    <t>Date de 1ere mise en circ.</t>
  </si>
  <si>
    <t>CV fiscaux (P6)</t>
  </si>
  <si>
    <t>Type véhicule</t>
  </si>
  <si>
    <t>VP</t>
  </si>
  <si>
    <t>Carburant</t>
  </si>
  <si>
    <t>ESSENCE</t>
  </si>
  <si>
    <t>Taux CO2 (V7)</t>
  </si>
  <si>
    <t>Date d'entrée</t>
  </si>
  <si>
    <t>Nombre de trimestre assujetti à la TVS</t>
  </si>
  <si>
    <t xml:space="preserve">Prix d'achat estimé </t>
  </si>
  <si>
    <t>Km perso mensuel</t>
  </si>
  <si>
    <t>Total mensuel 01/22 (pro et perso)</t>
  </si>
  <si>
    <t>Nombre de mois sur l'exercice</t>
  </si>
  <si>
    <t>Total km pro mensuel</t>
  </si>
  <si>
    <t>Total Km pro annuel</t>
  </si>
  <si>
    <t>7 CV et plus</t>
  </si>
  <si>
    <t>Barème applicable CV</t>
  </si>
  <si>
    <t>Barème applicable distance</t>
  </si>
  <si>
    <t>distance annuelle parcourue</t>
  </si>
  <si>
    <t>https://www.service-public.fr/particuliers/actualites/A14686</t>
  </si>
  <si>
    <t xml:space="preserve">Barème IK : </t>
  </si>
  <si>
    <t>https://www.impots.gouv.fr/portail/simulateur-bareme-kilometrique</t>
  </si>
  <si>
    <t xml:space="preserve">Coût véhicule : </t>
  </si>
  <si>
    <t>Durée d'utilisation (en année)</t>
  </si>
  <si>
    <t>Dotation pour l'exercice et sur 5 ans</t>
  </si>
  <si>
    <t>Coût annuel assurance</t>
  </si>
  <si>
    <t>Coût annuel TVS</t>
  </si>
  <si>
    <t xml:space="preserve">Coût annuel essence : </t>
  </si>
  <si>
    <t>https://calculis.net/cout-carburant</t>
  </si>
  <si>
    <t>Simulation Frais réels</t>
  </si>
  <si>
    <t>Amortissement du véhicule</t>
  </si>
  <si>
    <t>Charges</t>
  </si>
  <si>
    <t>Dotation mensuelle sur 5 ans</t>
  </si>
  <si>
    <t>Total charges annuelles véhicule</t>
  </si>
  <si>
    <t>Total charges mensuelles véhicule</t>
  </si>
  <si>
    <t>Impôts</t>
  </si>
  <si>
    <t>Amortissement non déductible</t>
  </si>
  <si>
    <t xml:space="preserve">Amortissement non déductible : </t>
  </si>
  <si>
    <t>https://bofip.impots.gouv.fr/bofip/4582-PGP.html/identifiant%3DBOI-BIC-AMT-20-40-50-20191218</t>
  </si>
  <si>
    <t>Total coût mensuel</t>
  </si>
  <si>
    <t>Coût annuel entretien</t>
  </si>
  <si>
    <t>Coût annuel essence (10L/100 - 1,90€L)</t>
  </si>
  <si>
    <t>IK annuelles</t>
  </si>
  <si>
    <t>IK mensuelles</t>
  </si>
  <si>
    <t>Total</t>
  </si>
  <si>
    <t>Avantage en nature</t>
  </si>
  <si>
    <t>INFORMATIONS</t>
  </si>
  <si>
    <t xml:space="preserve">AQUISITION PERSONNELLE </t>
  </si>
  <si>
    <t>AQUISITION PAR LA SOCIETE</t>
  </si>
  <si>
    <t>Le véhicule</t>
  </si>
  <si>
    <t>L'utilisation du véhicule</t>
  </si>
  <si>
    <t>Coût de revient du véhicule à titre personnel</t>
  </si>
  <si>
    <t>IK versés au dirigeant</t>
  </si>
  <si>
    <t>IK versés au dirigeant (net d'IS)</t>
  </si>
  <si>
    <t xml:space="preserve">Complément de salaire </t>
  </si>
  <si>
    <t>Coût pour la société (si salaire)</t>
  </si>
  <si>
    <t>Coût pour la société (si dividendes)</t>
  </si>
  <si>
    <t>Coût total pour la société avec salaire</t>
  </si>
  <si>
    <t>Coût total pour la société avec dividendes</t>
  </si>
  <si>
    <t>Dossier XXXX</t>
  </si>
  <si>
    <t>Simulation coût mensuel IK et coût mensuel frais réels pour la société (en cas d'achat du véhicule)</t>
  </si>
  <si>
    <t>LOCATION PAR LA SOCIETE</t>
  </si>
  <si>
    <t>TESLA</t>
  </si>
  <si>
    <t xml:space="preserve">Coût location véhicule : </t>
  </si>
  <si>
    <t>Model 3</t>
  </si>
  <si>
    <t>Durée d'amortissement (en année)</t>
  </si>
  <si>
    <t>Coût mensuel location</t>
  </si>
  <si>
    <t>AUTRE</t>
  </si>
  <si>
    <t>Coût annuel location</t>
  </si>
  <si>
    <t>Coût annuel carburant</t>
  </si>
  <si>
    <t>Total mensuel</t>
  </si>
  <si>
    <t>Simulation coût mensuel IK et coût mensuel frais réels pour la société (en cas de location du véhicule)</t>
  </si>
  <si>
    <t>Coût mensuel assurance</t>
  </si>
  <si>
    <t xml:space="preserve">LOCATION A TITRE PERSONNELLE </t>
  </si>
  <si>
    <t>INFORMATIONS A SAISIR</t>
  </si>
  <si>
    <t>SAS : Coût pour la société (si salaire)</t>
  </si>
  <si>
    <t>SAS : Coût pour la société (si dividendes)</t>
  </si>
  <si>
    <t xml:space="preserve">Si la statut juridique de la société est de type SAS : </t>
  </si>
  <si>
    <t xml:space="preserve">Si la statut juridique de la société est de type SARL : </t>
  </si>
  <si>
    <t>SARL : Coût pour la société (si salaire)</t>
  </si>
  <si>
    <t>SARL : Coût pour la société (si dividendes)</t>
  </si>
  <si>
    <t>Durée location</t>
  </si>
  <si>
    <t>Durée amortissement</t>
  </si>
  <si>
    <t>Coût entretien</t>
  </si>
  <si>
    <t>xxxxx</t>
  </si>
  <si>
    <t>données à saisir/modifier</t>
  </si>
  <si>
    <r>
      <rPr>
        <u/>
        <sz val="11"/>
        <color theme="1"/>
        <rFont val="Calibri"/>
        <family val="2"/>
        <scheme val="minor"/>
      </rPr>
      <t>Légende</t>
    </r>
    <r>
      <rPr>
        <sz val="11"/>
        <color theme="1"/>
        <rFont val="Calibri"/>
        <family val="2"/>
        <scheme val="minor"/>
      </rPr>
      <t xml:space="preserve"> : </t>
    </r>
  </si>
  <si>
    <t>Plafond de déduction à corriger</t>
  </si>
  <si>
    <t>Durée d'utilisation</t>
  </si>
  <si>
    <t>Taux de calcul de l'AN et réduction pour véhicule électrique</t>
  </si>
  <si>
    <t xml:space="preserve">Taux de calcul de l'AN </t>
  </si>
  <si>
    <t xml:space="preserve">Calcul avantage en nature : </t>
  </si>
  <si>
    <t xml:space="preserve">Véhicule électrique : </t>
  </si>
  <si>
    <t>https://www.urssaf.fr/portail/home/employeur/calculer-les-cotisations/les-elements-a-prendre-en-compte/les-avantages-en-nature/lavantage-en-nature-vehicule/particularites-des-vehicules-ele.html</t>
  </si>
  <si>
    <t>Véhicule thermique :</t>
  </si>
  <si>
    <t>Chevaux fiscaux</t>
  </si>
  <si>
    <t>Jusqu’à 5 000 km</t>
  </si>
  <si>
    <t>De 5 001 km à 20 000 km</t>
  </si>
  <si>
    <t>Au-delà de 20 000 km</t>
  </si>
  <si>
    <t>3 CV et moins</t>
  </si>
  <si>
    <t>+</t>
  </si>
  <si>
    <t>4 CV</t>
  </si>
  <si>
    <t xml:space="preserve">5 CV </t>
  </si>
  <si>
    <t>6 CV</t>
  </si>
  <si>
    <t>https://www.urssaf.fr/portail/home/employeur/calculer-les-cotisations/les-elements-a-prendre-en-compte/les-avantages-en-nature/lavantage-en-nature-vehicule/levaluation-de-lavantage-pour-un.html</t>
  </si>
  <si>
    <t>Plafond de déduction à corriger en fonction de son véhicule et de l'année d'acquisition</t>
  </si>
  <si>
    <t>Voir feuille de travai spécifique</t>
  </si>
  <si>
    <t>Imposition</t>
  </si>
  <si>
    <t>Taux marginal d'imposition gérant</t>
  </si>
  <si>
    <t>Taux d'impôt sur les sociétés</t>
  </si>
  <si>
    <t>Majoration IK si véhicule electrique</t>
  </si>
  <si>
    <t>Barème compensation 2022</t>
  </si>
  <si>
    <t>/ ! \ S'assurer que le barème dans l'onglet "Sources infos" est d'actualité</t>
  </si>
  <si>
    <t xml:space="preserve">Date d'actualisation des informations : </t>
  </si>
  <si>
    <t>Voir feuille de travai spécifique =&gt; N/A si véhicule électrique</t>
  </si>
  <si>
    <t>Sans tenir compte du fait d'une partie du dividende peut être supérieure à la 1/2 du capital social</t>
  </si>
  <si>
    <t>/ ! \  : S'assurer que le barème dans l'onglet "Sources infos" est d'actualité</t>
  </si>
  <si>
    <t>/ ! \ bis : Veiller à bien redescendre toutes les cases afin de s’assurer que le paramétrage convient à la problématique de son dossier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</si>
</sst>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5" formatCode="_-* #,##0_-;\-* #,##0_-;_-* &quot;-&quot;??_-;_-@_-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69B1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0" fillId="4" borderId="11" xfId="0" applyFont="1" applyFill="1" applyBorder="1"/>
    <xf numFmtId="0" fontId="0" fillId="4" borderId="13" xfId="0" applyFont="1" applyFill="1" applyBorder="1"/>
    <xf numFmtId="0" fontId="0" fillId="4" borderId="3" xfId="0" applyFont="1" applyFill="1" applyBorder="1"/>
    <xf numFmtId="0" fontId="0" fillId="4" borderId="5" xfId="0" applyFont="1" applyFill="1" applyBorder="1"/>
    <xf numFmtId="0" fontId="2" fillId="4" borderId="7" xfId="0" applyFont="1" applyFill="1" applyBorder="1"/>
    <xf numFmtId="3" fontId="2" fillId="0" borderId="8" xfId="0" applyNumberFormat="1" applyFont="1" applyBorder="1" applyAlignment="1">
      <alignment horizontal="center"/>
    </xf>
    <xf numFmtId="0" fontId="0" fillId="4" borderId="5" xfId="0" applyFill="1" applyBorder="1"/>
    <xf numFmtId="0" fontId="0" fillId="4" borderId="13" xfId="0" applyFill="1" applyBorder="1"/>
    <xf numFmtId="3" fontId="0" fillId="0" borderId="14" xfId="0" applyNumberFormat="1" applyBorder="1" applyAlignment="1">
      <alignment horizontal="center"/>
    </xf>
    <xf numFmtId="0" fontId="0" fillId="4" borderId="3" xfId="0" applyFill="1" applyBorder="1"/>
    <xf numFmtId="0" fontId="5" fillId="0" borderId="0" xfId="2"/>
    <xf numFmtId="0" fontId="0" fillId="0" borderId="0" xfId="0" applyBorder="1"/>
    <xf numFmtId="164" fontId="0" fillId="0" borderId="6" xfId="1" applyNumberFormat="1" applyFont="1" applyBorder="1"/>
    <xf numFmtId="0" fontId="0" fillId="0" borderId="14" xfId="0" applyBorder="1"/>
    <xf numFmtId="164" fontId="1" fillId="0" borderId="4" xfId="1" applyNumberFormat="1" applyFont="1" applyBorder="1"/>
    <xf numFmtId="164" fontId="2" fillId="0" borderId="8" xfId="1" applyNumberFormat="1" applyFont="1" applyBorder="1"/>
    <xf numFmtId="164" fontId="0" fillId="0" borderId="14" xfId="1" applyNumberFormat="1" applyFont="1" applyBorder="1"/>
    <xf numFmtId="164" fontId="0" fillId="0" borderId="4" xfId="0" applyNumberFormat="1" applyBorder="1"/>
    <xf numFmtId="0" fontId="2" fillId="4" borderId="15" xfId="0" applyFont="1" applyFill="1" applyBorder="1"/>
    <xf numFmtId="164" fontId="2" fillId="0" borderId="16" xfId="1" applyNumberFormat="1" applyFont="1" applyBorder="1"/>
    <xf numFmtId="0" fontId="0" fillId="0" borderId="0" xfId="0" applyAlignment="1">
      <alignment horizontal="left" vertical="center" wrapText="1"/>
    </xf>
    <xf numFmtId="164" fontId="0" fillId="0" borderId="0" xfId="0" applyNumberFormat="1"/>
    <xf numFmtId="164" fontId="2" fillId="0" borderId="0" xfId="0" applyNumberFormat="1" applyFont="1"/>
    <xf numFmtId="0" fontId="6" fillId="4" borderId="15" xfId="0" applyFont="1" applyFill="1" applyBorder="1"/>
    <xf numFmtId="164" fontId="6" fillId="0" borderId="16" xfId="1" applyNumberFormat="1" applyFont="1" applyBorder="1"/>
    <xf numFmtId="0" fontId="6" fillId="4" borderId="7" xfId="0" applyFont="1" applyFill="1" applyBorder="1"/>
    <xf numFmtId="164" fontId="6" fillId="0" borderId="8" xfId="1" applyNumberFormat="1" applyFont="1" applyBorder="1"/>
    <xf numFmtId="0" fontId="2" fillId="6" borderId="1" xfId="0" applyFont="1" applyFill="1" applyBorder="1"/>
    <xf numFmtId="164" fontId="2" fillId="6" borderId="17" xfId="0" applyNumberFormat="1" applyFont="1" applyFill="1" applyBorder="1"/>
    <xf numFmtId="165" fontId="0" fillId="0" borderId="12" xfId="3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" fillId="7" borderId="7" xfId="0" applyFont="1" applyFill="1" applyBorder="1"/>
    <xf numFmtId="3" fontId="2" fillId="7" borderId="8" xfId="0" applyNumberFormat="1" applyFont="1" applyFill="1" applyBorder="1" applyAlignment="1">
      <alignment horizontal="center"/>
    </xf>
    <xf numFmtId="0" fontId="0" fillId="4" borderId="15" xfId="0" applyFill="1" applyBorder="1"/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0" fillId="4" borderId="11" xfId="0" applyFill="1" applyBorder="1"/>
    <xf numFmtId="3" fontId="0" fillId="0" borderId="4" xfId="0" applyNumberFormat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14" fontId="11" fillId="3" borderId="6" xfId="0" applyNumberFormat="1" applyFont="1" applyFill="1" applyBorder="1" applyAlignment="1">
      <alignment horizontal="center"/>
    </xf>
    <xf numFmtId="164" fontId="11" fillId="3" borderId="6" xfId="1" applyNumberFormat="1" applyFont="1" applyFill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165" fontId="11" fillId="0" borderId="6" xfId="3" applyNumberFormat="1" applyFont="1" applyBorder="1" applyAlignment="1">
      <alignment horizontal="center"/>
    </xf>
    <xf numFmtId="165" fontId="0" fillId="0" borderId="6" xfId="3" applyNumberFormat="1" applyFont="1" applyBorder="1" applyAlignment="1">
      <alignment horizontal="center"/>
    </xf>
    <xf numFmtId="165" fontId="0" fillId="0" borderId="8" xfId="3" applyNumberFormat="1" applyFont="1" applyBorder="1" applyAlignment="1">
      <alignment horizontal="center"/>
    </xf>
    <xf numFmtId="0" fontId="11" fillId="0" borderId="0" xfId="0" applyFont="1"/>
    <xf numFmtId="164" fontId="11" fillId="0" borderId="16" xfId="1" applyNumberFormat="1" applyFont="1" applyBorder="1"/>
    <xf numFmtId="164" fontId="11" fillId="0" borderId="6" xfId="1" applyNumberFormat="1" applyFont="1" applyBorder="1"/>
    <xf numFmtId="0" fontId="4" fillId="0" borderId="14" xfId="0" applyFont="1" applyBorder="1"/>
    <xf numFmtId="165" fontId="11" fillId="0" borderId="8" xfId="3" applyNumberFormat="1" applyFont="1" applyBorder="1" applyAlignment="1">
      <alignment horizontal="center"/>
    </xf>
    <xf numFmtId="0" fontId="13" fillId="0" borderId="0" xfId="0" applyFont="1"/>
    <xf numFmtId="0" fontId="14" fillId="3" borderId="0" xfId="0" applyFont="1" applyFill="1"/>
    <xf numFmtId="0" fontId="15" fillId="10" borderId="19" xfId="0" applyFont="1" applyFill="1" applyBorder="1" applyAlignment="1">
      <alignment vertical="center"/>
    </xf>
    <xf numFmtId="0" fontId="15" fillId="10" borderId="19" xfId="0" applyFont="1" applyFill="1" applyBorder="1" applyAlignment="1">
      <alignment horizontal="center" vertical="center" wrapText="1"/>
    </xf>
    <xf numFmtId="0" fontId="15" fillId="10" borderId="21" xfId="0" applyFont="1" applyFill="1" applyBorder="1" applyAlignment="1">
      <alignment horizontal="center" vertical="center" wrapText="1"/>
    </xf>
    <xf numFmtId="0" fontId="14" fillId="3" borderId="22" xfId="0" applyFont="1" applyFill="1" applyBorder="1"/>
    <xf numFmtId="166" fontId="14" fillId="3" borderId="22" xfId="0" applyNumberFormat="1" applyFont="1" applyFill="1" applyBorder="1" applyAlignment="1">
      <alignment horizontal="center"/>
    </xf>
    <xf numFmtId="166" fontId="14" fillId="3" borderId="23" xfId="0" applyNumberFormat="1" applyFont="1" applyFill="1" applyBorder="1" applyAlignment="1">
      <alignment horizontal="center"/>
    </xf>
    <xf numFmtId="166" fontId="14" fillId="3" borderId="24" xfId="0" quotePrefix="1" applyNumberFormat="1" applyFont="1" applyFill="1" applyBorder="1" applyAlignment="1">
      <alignment horizontal="center"/>
    </xf>
    <xf numFmtId="1" fontId="14" fillId="3" borderId="25" xfId="0" applyNumberFormat="1" applyFont="1" applyFill="1" applyBorder="1" applyAlignment="1">
      <alignment horizontal="center"/>
    </xf>
    <xf numFmtId="166" fontId="14" fillId="3" borderId="26" xfId="0" applyNumberFormat="1" applyFont="1" applyFill="1" applyBorder="1" applyAlignment="1">
      <alignment horizontal="center"/>
    </xf>
    <xf numFmtId="0" fontId="14" fillId="3" borderId="22" xfId="0" applyFont="1" applyFill="1" applyBorder="1" applyAlignment="1">
      <alignment horizontal="left"/>
    </xf>
    <xf numFmtId="166" fontId="14" fillId="3" borderId="0" xfId="0" quotePrefix="1" applyNumberFormat="1" applyFont="1" applyFill="1" applyAlignment="1">
      <alignment horizontal="center"/>
    </xf>
    <xf numFmtId="1" fontId="14" fillId="3" borderId="26" xfId="0" applyNumberFormat="1" applyFont="1" applyFill="1" applyBorder="1" applyAlignment="1">
      <alignment horizontal="center"/>
    </xf>
    <xf numFmtId="0" fontId="14" fillId="3" borderId="27" xfId="0" applyFont="1" applyFill="1" applyBorder="1" applyAlignment="1">
      <alignment horizontal="left"/>
    </xf>
    <xf numFmtId="166" fontId="14" fillId="3" borderId="27" xfId="0" applyNumberFormat="1" applyFont="1" applyFill="1" applyBorder="1" applyAlignment="1">
      <alignment horizontal="center"/>
    </xf>
    <xf numFmtId="166" fontId="14" fillId="3" borderId="28" xfId="0" quotePrefix="1" applyNumberFormat="1" applyFont="1" applyFill="1" applyBorder="1" applyAlignment="1">
      <alignment horizontal="center"/>
    </xf>
    <xf numFmtId="1" fontId="14" fillId="3" borderId="29" xfId="0" applyNumberFormat="1" applyFont="1" applyFill="1" applyBorder="1" applyAlignment="1">
      <alignment horizontal="center"/>
    </xf>
    <xf numFmtId="166" fontId="14" fillId="3" borderId="29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9" fontId="11" fillId="0" borderId="8" xfId="4" applyFont="1" applyBorder="1" applyAlignment="1">
      <alignment horizontal="center"/>
    </xf>
    <xf numFmtId="0" fontId="0" fillId="4" borderId="7" xfId="0" applyFont="1" applyFill="1" applyBorder="1"/>
    <xf numFmtId="9" fontId="11" fillId="0" borderId="12" xfId="4" applyFont="1" applyBorder="1" applyAlignment="1">
      <alignment horizontal="center"/>
    </xf>
    <xf numFmtId="0" fontId="0" fillId="4" borderId="7" xfId="0" applyFill="1" applyBorder="1"/>
    <xf numFmtId="164" fontId="0" fillId="0" borderId="8" xfId="1" applyNumberFormat="1" applyFont="1" applyBorder="1"/>
    <xf numFmtId="0" fontId="16" fillId="0" borderId="0" xfId="0" applyFont="1"/>
    <xf numFmtId="14" fontId="1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15" fillId="10" borderId="1" xfId="0" applyFont="1" applyFill="1" applyBorder="1" applyAlignment="1">
      <alignment horizontal="center"/>
    </xf>
    <xf numFmtId="0" fontId="15" fillId="10" borderId="18" xfId="0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15" fillId="10" borderId="9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</cellXfs>
  <cellStyles count="5">
    <cellStyle name="Lien hypertexte" xfId="2" builtinId="8"/>
    <cellStyle name="Milliers" xfId="3" builtinId="3"/>
    <cellStyle name="Monétaire" xfId="1" builtinId="4"/>
    <cellStyle name="Normal" xfId="0" builtinId="0"/>
    <cellStyle name="Pourcentage" xfId="4" builtinId="5"/>
  </cellStyles>
  <dxfs count="0"/>
  <tableStyles count="0" defaultTableStyle="TableStyleMedium2" defaultPivotStyle="PivotStyleLight16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26</xdr:row>
      <xdr:rowOff>30819</xdr:rowOff>
    </xdr:from>
    <xdr:to>
      <xdr:col>4</xdr:col>
      <xdr:colOff>628650</xdr:colOff>
      <xdr:row>40</xdr:row>
      <xdr:rowOff>18633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89C9D7C-34E3-4D33-9B09-7AB14CEE1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793319"/>
          <a:ext cx="2905125" cy="2654814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39</xdr:row>
      <xdr:rowOff>129917</xdr:rowOff>
    </xdr:from>
    <xdr:to>
      <xdr:col>9</xdr:col>
      <xdr:colOff>514351</xdr:colOff>
      <xdr:row>43</xdr:row>
      <xdr:rowOff>135483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6277D59-9EB0-4F49-9170-9DD6B05A1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9151" y="7368917"/>
          <a:ext cx="6553200" cy="767566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47</xdr:row>
      <xdr:rowOff>23067</xdr:rowOff>
    </xdr:from>
    <xdr:to>
      <xdr:col>10</xdr:col>
      <xdr:colOff>676276</xdr:colOff>
      <xdr:row>72</xdr:row>
      <xdr:rowOff>132688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D7DC25D-F2FD-4D30-9E84-ED67F6F27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0576" y="8786067"/>
          <a:ext cx="7505700" cy="4872121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72</xdr:row>
      <xdr:rowOff>142874</xdr:rowOff>
    </xdr:from>
    <xdr:to>
      <xdr:col>10</xdr:col>
      <xdr:colOff>733487</xdr:colOff>
      <xdr:row>108</xdr:row>
      <xdr:rowOff>122885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D6FC8F2-1242-47AA-8326-8EA2CCCF3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475" y="13668374"/>
          <a:ext cx="7982012" cy="6838011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685801</xdr:colOff>
      <xdr:row>5</xdr:row>
      <xdr:rowOff>57150</xdr:rowOff>
    </xdr:from>
    <xdr:to>
      <xdr:col>8</xdr:col>
      <xdr:colOff>307235</xdr:colOff>
      <xdr:row>20</xdr:row>
      <xdr:rowOff>123825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0573947-F76D-6CF3-FABC-CAE189A0B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801" y="819150"/>
          <a:ext cx="5717434" cy="3362325"/>
        </a:xfrm>
        <a:prstGeom prst="rect">
          <a:avLst/>
        </a:prstGeom>
      </xdr:spPr>
    </xdr:pic>
    <xdr:clientData/>
  </xdr:twoCellAnchor>
  <xdr:twoCellAnchor editAs="oneCell">
    <xdr:from>
      <xdr:col>0</xdr:col>
      <xdr:colOff>619126</xdr:colOff>
      <xdr:row>20</xdr:row>
      <xdr:rowOff>57150</xdr:rowOff>
    </xdr:from>
    <xdr:to>
      <xdr:col>8</xdr:col>
      <xdr:colOff>628650</xdr:colOff>
      <xdr:row>23</xdr:row>
      <xdr:rowOff>128336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C6F6988A-20C2-DF85-89E5-324E53FB5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9126" y="4124325"/>
          <a:ext cx="6105524" cy="642686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714375</xdr:colOff>
      <xdr:row>112</xdr:row>
      <xdr:rowOff>76200</xdr:rowOff>
    </xdr:from>
    <xdr:to>
      <xdr:col>8</xdr:col>
      <xdr:colOff>678519</xdr:colOff>
      <xdr:row>140</xdr:row>
      <xdr:rowOff>171450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CDDFFC5-0D0B-7B4B-5CD8-338D961F9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14375" y="21221700"/>
          <a:ext cx="6060144" cy="5429250"/>
        </a:xfrm>
        <a:prstGeom prst="rect">
          <a:avLst/>
        </a:prstGeom>
      </xdr:spPr>
    </xdr:pic>
    <xdr:clientData/>
  </xdr:twoCellAnchor>
  <xdr:twoCellAnchor editAs="oneCell">
    <xdr:from>
      <xdr:col>8</xdr:col>
      <xdr:colOff>714375</xdr:colOff>
      <xdr:row>112</xdr:row>
      <xdr:rowOff>95250</xdr:rowOff>
    </xdr:from>
    <xdr:to>
      <xdr:col>16</xdr:col>
      <xdr:colOff>400050</xdr:colOff>
      <xdr:row>141</xdr:row>
      <xdr:rowOff>70054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A1D0A360-269F-47BA-3E0B-FE759235D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10375" y="21240750"/>
          <a:ext cx="5895975" cy="5499304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685800</xdr:colOff>
      <xdr:row>143</xdr:row>
      <xdr:rowOff>57150</xdr:rowOff>
    </xdr:from>
    <xdr:to>
      <xdr:col>8</xdr:col>
      <xdr:colOff>536359</xdr:colOff>
      <xdr:row>173</xdr:row>
      <xdr:rowOff>170686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D68653F6-6DFB-073C-5F37-3604CDD86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85800" y="27108150"/>
          <a:ext cx="5946559" cy="5828536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752476</xdr:colOff>
      <xdr:row>143</xdr:row>
      <xdr:rowOff>85725</xdr:rowOff>
    </xdr:from>
    <xdr:to>
      <xdr:col>16</xdr:col>
      <xdr:colOff>280254</xdr:colOff>
      <xdr:row>181</xdr:row>
      <xdr:rowOff>8537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1847AA4A-DC17-C25A-6F46-A4E83ABF3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48476" y="27136725"/>
          <a:ext cx="5738078" cy="7161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rssaf.fr/portail/home/employeur/calculer-les-cotisations/les-elements-a-prendre-en-compte/les-avantages-en-nature/lavantage-en-nature-vehicule/levaluation-de-lavantage-pour-un.html" TargetMode="External"/><Relationship Id="rId2" Type="http://schemas.openxmlformats.org/officeDocument/2006/relationships/hyperlink" Target="https://bofip.impots.gouv.fr/bofip/4582-PGP.html/identifiant%3DBOI-BIC-AMT-20-40-50-20191218" TargetMode="External"/><Relationship Id="rId1" Type="http://schemas.openxmlformats.org/officeDocument/2006/relationships/hyperlink" Target="https://www.impots.gouv.fr/portail/simulateur-bareme-kilometriqu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5FA46-236F-48D5-9252-A4629ED87F3B}">
  <dimension ref="A1:K54"/>
  <sheetViews>
    <sheetView tabSelected="1" workbookViewId="0">
      <selection activeCell="K13" sqref="K13"/>
    </sheetView>
  </sheetViews>
  <sheetFormatPr baseColWidth="10" defaultRowHeight="15" x14ac:dyDescent="0.25"/>
  <cols>
    <col min="1" max="1" width="38.7109375" customWidth="1"/>
    <col min="2" max="2" width="13.5703125" style="3" customWidth="1"/>
    <col min="3" max="3" width="3.85546875" customWidth="1"/>
    <col min="4" max="4" width="38.7109375" customWidth="1"/>
    <col min="5" max="5" width="14" bestFit="1" customWidth="1"/>
    <col min="6" max="6" width="3.85546875" customWidth="1"/>
    <col min="7" max="7" width="33" bestFit="1" customWidth="1"/>
    <col min="8" max="8" width="11.85546875" bestFit="1" customWidth="1"/>
  </cols>
  <sheetData>
    <row r="1" spans="1:11" ht="15.75" x14ac:dyDescent="0.25">
      <c r="A1" s="107" t="s">
        <v>64</v>
      </c>
      <c r="B1" s="107"/>
      <c r="C1" s="107"/>
      <c r="D1" s="107"/>
      <c r="E1" s="107"/>
      <c r="F1" s="107"/>
      <c r="G1" s="107"/>
      <c r="H1" s="107"/>
      <c r="J1" t="s">
        <v>91</v>
      </c>
    </row>
    <row r="2" spans="1:11" x14ac:dyDescent="0.25">
      <c r="A2" s="100" t="s">
        <v>76</v>
      </c>
      <c r="B2" s="100"/>
      <c r="C2" s="100"/>
      <c r="D2" s="100"/>
      <c r="E2" s="100"/>
      <c r="F2" s="100"/>
      <c r="G2" s="100"/>
      <c r="H2" s="100"/>
      <c r="J2" s="64" t="s">
        <v>89</v>
      </c>
      <c r="K2" t="s">
        <v>90</v>
      </c>
    </row>
    <row r="3" spans="1:11" ht="15.75" thickBot="1" x14ac:dyDescent="0.3"/>
    <row r="4" spans="1:11" ht="15.75" thickBot="1" x14ac:dyDescent="0.3">
      <c r="A4" s="98" t="s">
        <v>79</v>
      </c>
      <c r="B4" s="99"/>
      <c r="D4" s="108" t="s">
        <v>78</v>
      </c>
      <c r="E4" s="109"/>
      <c r="G4" s="110" t="s">
        <v>66</v>
      </c>
      <c r="H4" s="111"/>
      <c r="J4" s="96" t="s">
        <v>117</v>
      </c>
    </row>
    <row r="5" spans="1:11" ht="15.75" thickBot="1" x14ac:dyDescent="0.3"/>
    <row r="6" spans="1:11" ht="15.75" thickBot="1" x14ac:dyDescent="0.3">
      <c r="A6" s="101" t="s">
        <v>54</v>
      </c>
      <c r="B6" s="102"/>
      <c r="D6" s="103" t="s">
        <v>56</v>
      </c>
      <c r="E6" s="104"/>
      <c r="G6" s="105" t="s">
        <v>34</v>
      </c>
      <c r="H6" s="106"/>
      <c r="J6" s="96" t="s">
        <v>122</v>
      </c>
    </row>
    <row r="7" spans="1:11" x14ac:dyDescent="0.25">
      <c r="A7" s="49" t="s">
        <v>0</v>
      </c>
      <c r="B7" s="59" t="s">
        <v>67</v>
      </c>
      <c r="D7" s="14" t="s">
        <v>68</v>
      </c>
      <c r="E7" s="20">
        <f>+B20*12+4000/E8</f>
        <v>7460.2000000000007</v>
      </c>
      <c r="G7" s="112" t="s">
        <v>35</v>
      </c>
      <c r="H7" s="113"/>
    </row>
    <row r="8" spans="1:11" ht="15.75" thickBot="1" x14ac:dyDescent="0.3">
      <c r="A8" s="6" t="s">
        <v>2</v>
      </c>
      <c r="B8" s="53" t="s">
        <v>69</v>
      </c>
      <c r="D8" s="15" t="s">
        <v>28</v>
      </c>
      <c r="E8" s="21">
        <f>+B18/12</f>
        <v>4</v>
      </c>
      <c r="G8" s="14" t="s">
        <v>27</v>
      </c>
      <c r="H8" s="20">
        <f>+B16</f>
        <v>44990</v>
      </c>
    </row>
    <row r="9" spans="1:11" ht="16.5" thickTop="1" thickBot="1" x14ac:dyDescent="0.3">
      <c r="A9" s="6" t="s">
        <v>4</v>
      </c>
      <c r="B9" s="53"/>
      <c r="D9" s="17"/>
      <c r="E9" s="22"/>
      <c r="G9" s="15" t="s">
        <v>70</v>
      </c>
      <c r="H9" s="21">
        <f>+B19</f>
        <v>5</v>
      </c>
    </row>
    <row r="10" spans="1:11" ht="16.5" thickTop="1" thickBot="1" x14ac:dyDescent="0.3">
      <c r="A10" s="6" t="s">
        <v>5</v>
      </c>
      <c r="B10" s="54"/>
      <c r="D10" s="33" t="s">
        <v>71</v>
      </c>
      <c r="E10" s="34">
        <f>+E7/12</f>
        <v>621.68333333333339</v>
      </c>
      <c r="G10" s="17" t="s">
        <v>29</v>
      </c>
      <c r="H10" s="22">
        <f>+H8/H9</f>
        <v>8998</v>
      </c>
    </row>
    <row r="11" spans="1:11" ht="15.75" thickBot="1" x14ac:dyDescent="0.3">
      <c r="A11" s="6" t="s">
        <v>6</v>
      </c>
      <c r="B11" s="53">
        <v>7</v>
      </c>
      <c r="D11" s="112" t="s">
        <v>36</v>
      </c>
      <c r="E11" s="113"/>
      <c r="G11" s="12"/>
      <c r="H11" s="23"/>
    </row>
    <row r="12" spans="1:11" x14ac:dyDescent="0.25">
      <c r="A12" s="6" t="s">
        <v>7</v>
      </c>
      <c r="B12" s="53" t="s">
        <v>8</v>
      </c>
      <c r="D12" s="14" t="s">
        <v>30</v>
      </c>
      <c r="E12" s="20">
        <f>+B21*12</f>
        <v>709.8</v>
      </c>
      <c r="G12" s="112" t="s">
        <v>36</v>
      </c>
      <c r="H12" s="113"/>
    </row>
    <row r="13" spans="1:11" x14ac:dyDescent="0.25">
      <c r="A13" s="6" t="s">
        <v>9</v>
      </c>
      <c r="B13" s="53" t="s">
        <v>72</v>
      </c>
      <c r="D13" s="14" t="s">
        <v>45</v>
      </c>
      <c r="E13" s="20">
        <f>+B22</f>
        <v>0</v>
      </c>
      <c r="G13" s="14" t="s">
        <v>73</v>
      </c>
      <c r="H13" s="20">
        <f>+E7</f>
        <v>7460.2000000000007</v>
      </c>
    </row>
    <row r="14" spans="1:11" ht="15.75" thickBot="1" x14ac:dyDescent="0.3">
      <c r="A14" s="6" t="s">
        <v>11</v>
      </c>
      <c r="B14" s="53">
        <v>0</v>
      </c>
      <c r="D14" s="15" t="s">
        <v>74</v>
      </c>
      <c r="E14" s="24">
        <f>+B23</f>
        <v>0</v>
      </c>
      <c r="G14" s="14" t="s">
        <v>30</v>
      </c>
      <c r="H14" s="20">
        <f>+E12</f>
        <v>709.8</v>
      </c>
    </row>
    <row r="15" spans="1:11" ht="15.75" thickTop="1" x14ac:dyDescent="0.25">
      <c r="A15" s="6" t="s">
        <v>12</v>
      </c>
      <c r="B15" s="54">
        <v>44562</v>
      </c>
      <c r="D15" s="17" t="s">
        <v>38</v>
      </c>
      <c r="E15" s="25">
        <f>SUM(E12:E14)</f>
        <v>709.8</v>
      </c>
      <c r="G15" s="14" t="s">
        <v>45</v>
      </c>
      <c r="H15" s="20">
        <f>+B22</f>
        <v>0</v>
      </c>
    </row>
    <row r="16" spans="1:11" ht="15.75" thickBot="1" x14ac:dyDescent="0.3">
      <c r="A16" s="6" t="s">
        <v>14</v>
      </c>
      <c r="B16" s="55">
        <f>43800+1190</f>
        <v>44990</v>
      </c>
      <c r="D16" s="31" t="s">
        <v>39</v>
      </c>
      <c r="E16" s="32">
        <f>+E15/12</f>
        <v>59.15</v>
      </c>
      <c r="G16" s="15" t="s">
        <v>74</v>
      </c>
      <c r="H16" s="24">
        <f>+B23</f>
        <v>0</v>
      </c>
    </row>
    <row r="17" spans="1:9" ht="15.75" customHeight="1" thickTop="1" thickBot="1" x14ac:dyDescent="0.3">
      <c r="A17" s="6" t="s">
        <v>13</v>
      </c>
      <c r="B17" s="53">
        <v>4</v>
      </c>
      <c r="D17" s="35" t="s">
        <v>44</v>
      </c>
      <c r="E17" s="36">
        <f>+E10+E16</f>
        <v>680.83333333333337</v>
      </c>
      <c r="G17" s="17" t="s">
        <v>38</v>
      </c>
      <c r="H17" s="25">
        <f>SUM(H13:H16)</f>
        <v>8170.0000000000009</v>
      </c>
    </row>
    <row r="18" spans="1:9" ht="15.75" thickBot="1" x14ac:dyDescent="0.3">
      <c r="A18" s="6" t="s">
        <v>86</v>
      </c>
      <c r="B18" s="60">
        <v>48</v>
      </c>
      <c r="G18" s="26" t="s">
        <v>39</v>
      </c>
      <c r="H18" s="27">
        <f>+H17/12</f>
        <v>680.83333333333337</v>
      </c>
    </row>
    <row r="19" spans="1:9" ht="15.75" thickBot="1" x14ac:dyDescent="0.3">
      <c r="A19" s="6" t="s">
        <v>87</v>
      </c>
      <c r="B19" s="60">
        <v>5</v>
      </c>
      <c r="D19" s="103" t="s">
        <v>57</v>
      </c>
      <c r="E19" s="104"/>
      <c r="G19" s="45" t="s">
        <v>40</v>
      </c>
      <c r="H19" s="46"/>
    </row>
    <row r="20" spans="1:9" x14ac:dyDescent="0.25">
      <c r="A20" s="6" t="s">
        <v>71</v>
      </c>
      <c r="B20" s="61">
        <f>597.5-59.15</f>
        <v>538.35</v>
      </c>
      <c r="D20" s="47" t="s">
        <v>21</v>
      </c>
      <c r="E20" s="88" t="str">
        <f>+IF(B11&lt;=3,"3 CV et moins",IF(B11=4,"4 CV",IF(B11=5,"5 CV",IF(B11=6,"6 CV","7 CV et plus"))))</f>
        <v>7 CV et plus</v>
      </c>
      <c r="G20" s="14" t="s">
        <v>31</v>
      </c>
      <c r="H20" s="20">
        <v>0</v>
      </c>
      <c r="I20" t="s">
        <v>119</v>
      </c>
    </row>
    <row r="21" spans="1:9" x14ac:dyDescent="0.25">
      <c r="A21" s="6" t="s">
        <v>77</v>
      </c>
      <c r="B21" s="61">
        <v>59.15</v>
      </c>
      <c r="D21" s="14" t="s">
        <v>22</v>
      </c>
      <c r="E21" s="89">
        <f>IF(B30=33,"",IF(B30&gt;=20000,VLOOKUP(E20,'Sources infos'!$K$8:$P$12,6,0),IF(B30&gt;5000,VLOOKUP(E20,'Sources infos'!$K$8:$P$12,3,0)+VLOOKUP(E20,'Sources infos'!$K$8:$P$12,5,0),VLOOKUP(E20,'Sources infos'!$K$8:$P$12,2,0))))</f>
        <v>1435.374</v>
      </c>
      <c r="G21" s="14" t="s">
        <v>41</v>
      </c>
      <c r="H21" s="66">
        <f>H10-(H10*(30000/B16))</f>
        <v>2998</v>
      </c>
      <c r="I21" t="s">
        <v>92</v>
      </c>
    </row>
    <row r="22" spans="1:9" ht="15.75" thickBot="1" x14ac:dyDescent="0.3">
      <c r="A22" s="6" t="s">
        <v>88</v>
      </c>
      <c r="B22" s="62">
        <v>0</v>
      </c>
      <c r="D22" s="15" t="s">
        <v>23</v>
      </c>
      <c r="E22" s="16">
        <f>+B30</f>
        <v>7000</v>
      </c>
      <c r="G22" s="41" t="s">
        <v>50</v>
      </c>
      <c r="H22" s="65">
        <f>+(H17*0.3-1076)*0.84</f>
        <v>1155</v>
      </c>
      <c r="I22" t="s">
        <v>94</v>
      </c>
    </row>
    <row r="23" spans="1:9" ht="16.5" thickTop="1" thickBot="1" x14ac:dyDescent="0.3">
      <c r="A23" s="7" t="s">
        <v>74</v>
      </c>
      <c r="B23" s="63">
        <v>0</v>
      </c>
      <c r="D23" s="17" t="s">
        <v>47</v>
      </c>
      <c r="E23" s="90">
        <f>IF(B30="","",IF(B30&gt;=20000,B30*VLOOKUP(E20,'Sources infos'!$K$8:$P$12,6,0),IF(B30&gt;5000,B30*VLOOKUP(E20,'Sources infos'!$K$8:$P$12,3,0)+VLOOKUP(E20,'Sources infos'!$K$8:$P$12,5,0),B30*VLOOKUP(E20,'Sources infos'!$K$8:$P$12,2,0))))</f>
        <v>4053</v>
      </c>
      <c r="G23" s="12" t="s">
        <v>75</v>
      </c>
      <c r="H23" s="23">
        <f>+(H20+H21+H22)/12</f>
        <v>346.08333333333331</v>
      </c>
    </row>
    <row r="24" spans="1:9" ht="15.75" thickBot="1" x14ac:dyDescent="0.3">
      <c r="D24" s="94" t="s">
        <v>115</v>
      </c>
      <c r="E24" s="95">
        <f>+IF(B13="AUTRE",E23*0.2,0)</f>
        <v>810.6</v>
      </c>
      <c r="G24" s="39" t="s">
        <v>44</v>
      </c>
      <c r="H24" s="40">
        <f>+H11+H18*0.85+(H20+H22*0.85)/12+H21/12</f>
        <v>910.35416666666674</v>
      </c>
    </row>
    <row r="25" spans="1:9" ht="15.75" thickBot="1" x14ac:dyDescent="0.3">
      <c r="A25" s="98" t="s">
        <v>55</v>
      </c>
      <c r="B25" s="99"/>
      <c r="D25" s="35" t="s">
        <v>48</v>
      </c>
      <c r="E25" s="36">
        <f>(E23+E24)/12</f>
        <v>405.3</v>
      </c>
    </row>
    <row r="26" spans="1:9" x14ac:dyDescent="0.25">
      <c r="A26" s="47" t="s">
        <v>16</v>
      </c>
      <c r="B26" s="56">
        <v>583.33333333333337</v>
      </c>
      <c r="G26" s="1"/>
    </row>
    <row r="27" spans="1:9" ht="15.75" thickBot="1" x14ac:dyDescent="0.3">
      <c r="A27" s="15" t="s">
        <v>15</v>
      </c>
      <c r="B27" s="57">
        <v>0</v>
      </c>
      <c r="D27" s="100" t="s">
        <v>82</v>
      </c>
      <c r="E27" s="100"/>
    </row>
    <row r="28" spans="1:9" ht="16.5" thickTop="1" thickBot="1" x14ac:dyDescent="0.3">
      <c r="A28" s="17" t="s">
        <v>18</v>
      </c>
      <c r="B28" s="48">
        <f>+B26-B27</f>
        <v>583.33333333333337</v>
      </c>
    </row>
    <row r="29" spans="1:9" ht="15.75" thickBot="1" x14ac:dyDescent="0.3">
      <c r="A29" s="14" t="s">
        <v>17</v>
      </c>
      <c r="B29" s="58">
        <v>12</v>
      </c>
      <c r="D29" s="98" t="s">
        <v>80</v>
      </c>
      <c r="E29" s="99"/>
    </row>
    <row r="30" spans="1:9" ht="15.75" thickBot="1" x14ac:dyDescent="0.3">
      <c r="A30" s="12" t="s">
        <v>19</v>
      </c>
      <c r="B30" s="13">
        <f>+B28*B29</f>
        <v>7000</v>
      </c>
      <c r="D30" s="47" t="s">
        <v>58</v>
      </c>
      <c r="E30" s="37">
        <f>+E25*(1-B34)</f>
        <v>344.505</v>
      </c>
    </row>
    <row r="31" spans="1:9" ht="15.75" thickBot="1" x14ac:dyDescent="0.3">
      <c r="D31" s="14" t="s">
        <v>59</v>
      </c>
      <c r="E31" s="38">
        <f>+(E17-E25)/(1-B33)*1.84*(1-B34)</f>
        <v>615.6201904761906</v>
      </c>
    </row>
    <row r="32" spans="1:9" ht="14.45" customHeight="1" thickBot="1" x14ac:dyDescent="0.3">
      <c r="A32" s="98" t="s">
        <v>112</v>
      </c>
      <c r="B32" s="99"/>
      <c r="D32" s="39" t="s">
        <v>62</v>
      </c>
      <c r="E32" s="40">
        <f>+E30+E31</f>
        <v>960.1251904761906</v>
      </c>
    </row>
    <row r="33" spans="1:6" ht="15.75" thickBot="1" x14ac:dyDescent="0.3">
      <c r="A33" s="8" t="s">
        <v>113</v>
      </c>
      <c r="B33" s="93">
        <v>0.3</v>
      </c>
      <c r="D33" s="3"/>
      <c r="E33" s="3"/>
      <c r="F33" s="28"/>
    </row>
    <row r="34" spans="1:6" ht="15.75" thickBot="1" x14ac:dyDescent="0.3">
      <c r="A34" s="92" t="s">
        <v>114</v>
      </c>
      <c r="B34" s="91">
        <v>0.15</v>
      </c>
      <c r="D34" s="98" t="s">
        <v>81</v>
      </c>
      <c r="E34" s="99"/>
      <c r="F34" s="28"/>
    </row>
    <row r="35" spans="1:6" x14ac:dyDescent="0.25">
      <c r="D35" s="47" t="s">
        <v>58</v>
      </c>
      <c r="E35" s="37">
        <f>+E25*(1-B34)</f>
        <v>344.505</v>
      </c>
      <c r="F35" s="28"/>
    </row>
    <row r="36" spans="1:6" x14ac:dyDescent="0.25">
      <c r="D36" s="14" t="s">
        <v>59</v>
      </c>
      <c r="E36" s="38">
        <f>(+E17-E25)/(1-B33)/(1-B34)</f>
        <v>463.08123249299729</v>
      </c>
      <c r="F36" s="44"/>
    </row>
    <row r="37" spans="1:6" ht="15.75" thickBot="1" x14ac:dyDescent="0.3">
      <c r="D37" s="39" t="s">
        <v>63</v>
      </c>
      <c r="E37" s="40">
        <f>+E35+E36</f>
        <v>807.58623249299728</v>
      </c>
      <c r="F37" s="44"/>
    </row>
    <row r="38" spans="1:6" x14ac:dyDescent="0.25">
      <c r="D38" s="1"/>
      <c r="E38" s="30"/>
      <c r="F38" s="44"/>
    </row>
    <row r="39" spans="1:6" x14ac:dyDescent="0.25">
      <c r="D39" s="100" t="s">
        <v>83</v>
      </c>
      <c r="E39" s="100"/>
      <c r="F39" s="44"/>
    </row>
    <row r="40" spans="1:6" ht="15.75" thickBot="1" x14ac:dyDescent="0.3">
      <c r="E40" s="30"/>
      <c r="F40" s="44"/>
    </row>
    <row r="41" spans="1:6" ht="15.75" thickBot="1" x14ac:dyDescent="0.3">
      <c r="D41" s="98" t="s">
        <v>84</v>
      </c>
      <c r="E41" s="99"/>
      <c r="F41" s="44"/>
    </row>
    <row r="42" spans="1:6" x14ac:dyDescent="0.25">
      <c r="D42" s="47" t="s">
        <v>58</v>
      </c>
      <c r="E42" s="37">
        <f>+E25*(1-B34)</f>
        <v>344.505</v>
      </c>
    </row>
    <row r="43" spans="1:6" x14ac:dyDescent="0.25">
      <c r="D43" s="14" t="s">
        <v>59</v>
      </c>
      <c r="E43" s="38">
        <f>+(E17-E25)/(1-B33)*1.45*(1-B34)</f>
        <v>485.13547619047631</v>
      </c>
    </row>
    <row r="44" spans="1:6" ht="15.75" thickBot="1" x14ac:dyDescent="0.3">
      <c r="D44" s="39" t="s">
        <v>62</v>
      </c>
      <c r="E44" s="40">
        <f>+E42+E43</f>
        <v>829.64047619047631</v>
      </c>
    </row>
    <row r="45" spans="1:6" ht="15.75" thickBot="1" x14ac:dyDescent="0.3">
      <c r="D45" s="3"/>
      <c r="E45" s="3"/>
    </row>
    <row r="46" spans="1:6" ht="15.75" thickBot="1" x14ac:dyDescent="0.3">
      <c r="D46" s="98" t="s">
        <v>85</v>
      </c>
      <c r="E46" s="99"/>
    </row>
    <row r="47" spans="1:6" x14ac:dyDescent="0.25">
      <c r="D47" s="47" t="s">
        <v>58</v>
      </c>
      <c r="E47" s="37">
        <f>+E25*(1-B34)</f>
        <v>344.505</v>
      </c>
    </row>
    <row r="48" spans="1:6" x14ac:dyDescent="0.25">
      <c r="D48" s="14" t="s">
        <v>59</v>
      </c>
      <c r="E48" s="38">
        <f>(+E17-E25)/(1-B33)/(1-B34)</f>
        <v>463.08123249299729</v>
      </c>
      <c r="F48" t="s">
        <v>120</v>
      </c>
    </row>
    <row r="49" spans="4:5" ht="15.75" thickBot="1" x14ac:dyDescent="0.3">
      <c r="D49" s="39" t="s">
        <v>63</v>
      </c>
      <c r="E49" s="40">
        <f>+E47+E48</f>
        <v>807.58623249299728</v>
      </c>
    </row>
    <row r="50" spans="4:5" x14ac:dyDescent="0.25">
      <c r="D50" s="44"/>
      <c r="E50" s="44"/>
    </row>
    <row r="51" spans="4:5" x14ac:dyDescent="0.25">
      <c r="D51" s="44"/>
      <c r="E51" s="44"/>
    </row>
    <row r="52" spans="4:5" x14ac:dyDescent="0.25">
      <c r="D52" s="44"/>
      <c r="E52" s="44"/>
    </row>
    <row r="53" spans="4:5" x14ac:dyDescent="0.25">
      <c r="D53" s="44"/>
      <c r="E53" s="44"/>
    </row>
    <row r="54" spans="4:5" x14ac:dyDescent="0.25">
      <c r="D54" s="44"/>
      <c r="E54" s="44"/>
    </row>
  </sheetData>
  <mergeCells count="20">
    <mergeCell ref="A1:H1"/>
    <mergeCell ref="A2:H2"/>
    <mergeCell ref="A4:B4"/>
    <mergeCell ref="D4:E4"/>
    <mergeCell ref="G4:H4"/>
    <mergeCell ref="D29:E29"/>
    <mergeCell ref="D27:E27"/>
    <mergeCell ref="A6:B6"/>
    <mergeCell ref="D6:E6"/>
    <mergeCell ref="G6:H6"/>
    <mergeCell ref="G7:H7"/>
    <mergeCell ref="D11:E11"/>
    <mergeCell ref="G12:H12"/>
    <mergeCell ref="D19:E19"/>
    <mergeCell ref="A25:B25"/>
    <mergeCell ref="A32:B32"/>
    <mergeCell ref="D46:E46"/>
    <mergeCell ref="D41:E41"/>
    <mergeCell ref="D39:E39"/>
    <mergeCell ref="D34:E34"/>
  </mergeCells>
  <dataValidations count="2">
    <dataValidation type="list" allowBlank="1" showInputMessage="1" showErrorMessage="1" sqref="B13" xr:uid="{40FC49F3-BDE3-4FB4-95BB-0CCB8B35D258}">
      <formula1>"GASOIL,ESSENCE,AUTRE"</formula1>
    </dataValidation>
    <dataValidation type="list" allowBlank="1" showInputMessage="1" showErrorMessage="1" sqref="B12" xr:uid="{DD3653F1-03F7-4858-9611-7860B58875CF}">
      <formula1>"VU,VP"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A030B-2645-4773-8B12-780EF6FCB7D6}">
  <sheetPr>
    <pageSetUpPr fitToPage="1"/>
  </sheetPr>
  <dimension ref="A1:K55"/>
  <sheetViews>
    <sheetView zoomScaleNormal="100" workbookViewId="0">
      <selection activeCell="J6" sqref="J6"/>
    </sheetView>
  </sheetViews>
  <sheetFormatPr baseColWidth="10" defaultRowHeight="15" x14ac:dyDescent="0.25"/>
  <cols>
    <col min="1" max="1" width="38.7109375" customWidth="1"/>
    <col min="2" max="2" width="13.5703125" style="3" customWidth="1"/>
    <col min="3" max="3" width="3.85546875" customWidth="1"/>
    <col min="4" max="4" width="38.7109375" customWidth="1"/>
    <col min="5" max="5" width="14" bestFit="1" customWidth="1"/>
    <col min="6" max="6" width="3.85546875" customWidth="1"/>
    <col min="7" max="7" width="33" bestFit="1" customWidth="1"/>
    <col min="8" max="8" width="11.85546875" bestFit="1" customWidth="1"/>
    <col min="9" max="9" width="9.5703125" customWidth="1"/>
  </cols>
  <sheetData>
    <row r="1" spans="1:11" ht="15.75" x14ac:dyDescent="0.25">
      <c r="A1" s="107" t="s">
        <v>64</v>
      </c>
      <c r="B1" s="107"/>
      <c r="C1" s="107"/>
      <c r="D1" s="107"/>
      <c r="E1" s="107"/>
      <c r="F1" s="107"/>
      <c r="G1" s="107"/>
      <c r="H1" s="107"/>
      <c r="J1" t="s">
        <v>91</v>
      </c>
    </row>
    <row r="2" spans="1:11" x14ac:dyDescent="0.25">
      <c r="A2" s="100" t="s">
        <v>65</v>
      </c>
      <c r="B2" s="100"/>
      <c r="C2" s="100"/>
      <c r="D2" s="100"/>
      <c r="E2" s="100"/>
      <c r="F2" s="100"/>
      <c r="G2" s="100"/>
      <c r="H2" s="100"/>
      <c r="J2" s="64" t="s">
        <v>89</v>
      </c>
      <c r="K2" t="s">
        <v>90</v>
      </c>
    </row>
    <row r="3" spans="1:11" ht="15.75" thickBot="1" x14ac:dyDescent="0.3">
      <c r="A3" s="2"/>
      <c r="B3" s="4"/>
      <c r="C3" s="19"/>
      <c r="D3" s="19"/>
      <c r="E3" s="19"/>
      <c r="F3" s="19"/>
    </row>
    <row r="4" spans="1:11" ht="15.75" thickBot="1" x14ac:dyDescent="0.3">
      <c r="A4" s="98" t="s">
        <v>51</v>
      </c>
      <c r="B4" s="99"/>
      <c r="C4" s="19"/>
      <c r="D4" s="108" t="s">
        <v>52</v>
      </c>
      <c r="E4" s="109"/>
      <c r="F4" s="19"/>
      <c r="G4" s="110" t="s">
        <v>53</v>
      </c>
      <c r="H4" s="111"/>
      <c r="J4" s="96" t="s">
        <v>121</v>
      </c>
    </row>
    <row r="5" spans="1:11" ht="15.75" thickBot="1" x14ac:dyDescent="0.3">
      <c r="A5" s="2"/>
      <c r="B5" s="4"/>
      <c r="C5" s="19"/>
      <c r="F5" s="19"/>
    </row>
    <row r="6" spans="1:11" ht="15.75" thickBot="1" x14ac:dyDescent="0.3">
      <c r="A6" s="101" t="s">
        <v>54</v>
      </c>
      <c r="B6" s="102"/>
      <c r="C6" s="19"/>
      <c r="D6" s="103" t="s">
        <v>56</v>
      </c>
      <c r="E6" s="104"/>
      <c r="F6" s="19"/>
      <c r="G6" s="105" t="s">
        <v>34</v>
      </c>
      <c r="H6" s="106"/>
      <c r="J6" s="96" t="s">
        <v>122</v>
      </c>
    </row>
    <row r="7" spans="1:11" x14ac:dyDescent="0.25">
      <c r="A7" s="49" t="s">
        <v>0</v>
      </c>
      <c r="B7" s="59" t="s">
        <v>1</v>
      </c>
      <c r="C7" s="19"/>
      <c r="D7" s="14" t="s">
        <v>27</v>
      </c>
      <c r="E7" s="20">
        <f>+B16</f>
        <v>45000</v>
      </c>
      <c r="F7" s="19"/>
      <c r="G7" s="112" t="s">
        <v>35</v>
      </c>
      <c r="H7" s="113"/>
    </row>
    <row r="8" spans="1:11" ht="15.75" thickBot="1" x14ac:dyDescent="0.3">
      <c r="A8" s="6" t="s">
        <v>2</v>
      </c>
      <c r="B8" s="53" t="s">
        <v>3</v>
      </c>
      <c r="C8" s="19"/>
      <c r="D8" s="15" t="s">
        <v>28</v>
      </c>
      <c r="E8" s="67">
        <f>+B18</f>
        <v>5</v>
      </c>
      <c r="F8" s="19"/>
      <c r="G8" s="14" t="s">
        <v>27</v>
      </c>
      <c r="H8" s="20">
        <f>+B16</f>
        <v>45000</v>
      </c>
    </row>
    <row r="9" spans="1:11" ht="16.5" thickTop="1" thickBot="1" x14ac:dyDescent="0.3">
      <c r="A9" s="6" t="s">
        <v>4</v>
      </c>
      <c r="B9" s="53"/>
      <c r="C9" s="19"/>
      <c r="D9" s="10" t="s">
        <v>29</v>
      </c>
      <c r="E9" s="22">
        <f>+E7/E8</f>
        <v>9000</v>
      </c>
      <c r="F9" s="19"/>
      <c r="G9" s="15" t="s">
        <v>28</v>
      </c>
      <c r="H9" s="21">
        <f>+B19</f>
        <v>5</v>
      </c>
    </row>
    <row r="10" spans="1:11" ht="16.5" thickTop="1" thickBot="1" x14ac:dyDescent="0.3">
      <c r="A10" s="6" t="s">
        <v>5</v>
      </c>
      <c r="B10" s="54">
        <v>43678</v>
      </c>
      <c r="C10" s="19"/>
      <c r="D10" s="33" t="s">
        <v>37</v>
      </c>
      <c r="E10" s="34">
        <f>+E9/12</f>
        <v>750</v>
      </c>
      <c r="F10" s="19"/>
      <c r="G10" s="10" t="s">
        <v>29</v>
      </c>
      <c r="H10" s="22">
        <f>+H8/H9</f>
        <v>9000</v>
      </c>
    </row>
    <row r="11" spans="1:11" ht="15.75" thickBot="1" x14ac:dyDescent="0.3">
      <c r="A11" s="6" t="s">
        <v>6</v>
      </c>
      <c r="B11" s="53">
        <v>10</v>
      </c>
      <c r="C11" s="19"/>
      <c r="D11" s="112" t="s">
        <v>36</v>
      </c>
      <c r="E11" s="113"/>
      <c r="F11" s="19"/>
      <c r="G11" s="12" t="s">
        <v>37</v>
      </c>
      <c r="H11" s="23">
        <f>+H10/12</f>
        <v>750</v>
      </c>
    </row>
    <row r="12" spans="1:11" x14ac:dyDescent="0.25">
      <c r="A12" s="6" t="s">
        <v>7</v>
      </c>
      <c r="B12" s="53" t="s">
        <v>8</v>
      </c>
      <c r="C12" s="19"/>
      <c r="D12" s="14" t="s">
        <v>30</v>
      </c>
      <c r="E12" s="20">
        <f>+B21</f>
        <v>1800</v>
      </c>
      <c r="F12" s="19"/>
      <c r="G12" s="112" t="s">
        <v>36</v>
      </c>
      <c r="H12" s="113"/>
    </row>
    <row r="13" spans="1:11" x14ac:dyDescent="0.25">
      <c r="A13" s="6" t="s">
        <v>9</v>
      </c>
      <c r="B13" s="53" t="s">
        <v>10</v>
      </c>
      <c r="C13" s="19"/>
      <c r="D13" s="14" t="s">
        <v>45</v>
      </c>
      <c r="E13" s="20">
        <f>+B22</f>
        <v>800</v>
      </c>
      <c r="F13" s="19"/>
      <c r="G13" s="14" t="s">
        <v>30</v>
      </c>
      <c r="H13" s="20">
        <f>+E12</f>
        <v>1800</v>
      </c>
    </row>
    <row r="14" spans="1:11" ht="15.75" thickBot="1" x14ac:dyDescent="0.3">
      <c r="A14" s="6" t="s">
        <v>11</v>
      </c>
      <c r="B14" s="53">
        <v>164</v>
      </c>
      <c r="C14" s="19"/>
      <c r="D14" s="15" t="s">
        <v>46</v>
      </c>
      <c r="E14" s="24">
        <f>+B23</f>
        <v>3420</v>
      </c>
      <c r="F14" s="19"/>
      <c r="G14" s="14" t="s">
        <v>45</v>
      </c>
      <c r="H14" s="20">
        <f>+E13</f>
        <v>800</v>
      </c>
    </row>
    <row r="15" spans="1:11" ht="16.5" thickTop="1" thickBot="1" x14ac:dyDescent="0.3">
      <c r="A15" s="6" t="s">
        <v>12</v>
      </c>
      <c r="B15" s="54">
        <v>44562</v>
      </c>
      <c r="C15" s="19"/>
      <c r="D15" s="17" t="s">
        <v>38</v>
      </c>
      <c r="E15" s="25">
        <f>SUM(E12:E14)</f>
        <v>6020</v>
      </c>
      <c r="F15" s="19"/>
      <c r="G15" s="15" t="s">
        <v>74</v>
      </c>
      <c r="H15" s="24">
        <f>+E14*0.8</f>
        <v>2736</v>
      </c>
    </row>
    <row r="16" spans="1:11" ht="16.5" thickTop="1" thickBot="1" x14ac:dyDescent="0.3">
      <c r="A16" s="6" t="s">
        <v>14</v>
      </c>
      <c r="B16" s="55">
        <v>45000</v>
      </c>
      <c r="C16" s="19"/>
      <c r="D16" s="31" t="s">
        <v>39</v>
      </c>
      <c r="E16" s="32">
        <f>+E15/12</f>
        <v>501.66666666666669</v>
      </c>
      <c r="F16" s="19"/>
      <c r="G16" s="17" t="s">
        <v>38</v>
      </c>
      <c r="H16" s="25">
        <f>SUM(H13:H15)</f>
        <v>5336</v>
      </c>
    </row>
    <row r="17" spans="1:9" ht="15.75" customHeight="1" thickBot="1" x14ac:dyDescent="0.3">
      <c r="A17" s="6" t="s">
        <v>13</v>
      </c>
      <c r="B17" s="53">
        <v>4</v>
      </c>
      <c r="C17" s="19"/>
      <c r="D17" s="35" t="s">
        <v>44</v>
      </c>
      <c r="E17" s="36">
        <f>+E10+E16</f>
        <v>1251.6666666666667</v>
      </c>
      <c r="F17" s="19"/>
      <c r="G17" s="26" t="s">
        <v>39</v>
      </c>
      <c r="H17" s="27">
        <f>+H16/12</f>
        <v>444.66666666666669</v>
      </c>
    </row>
    <row r="18" spans="1:9" ht="15.75" thickBot="1" x14ac:dyDescent="0.3">
      <c r="A18" s="6" t="s">
        <v>93</v>
      </c>
      <c r="B18" s="60">
        <v>5</v>
      </c>
      <c r="C18" s="19"/>
      <c r="F18" s="19"/>
      <c r="G18" s="112" t="s">
        <v>40</v>
      </c>
      <c r="H18" s="113"/>
    </row>
    <row r="19" spans="1:9" ht="15.75" thickBot="1" x14ac:dyDescent="0.3">
      <c r="A19" s="6" t="s">
        <v>87</v>
      </c>
      <c r="B19" s="60">
        <v>5</v>
      </c>
      <c r="C19" s="19"/>
      <c r="D19" s="103" t="s">
        <v>57</v>
      </c>
      <c r="E19" s="104"/>
      <c r="F19" s="19"/>
      <c r="G19" s="14" t="s">
        <v>31</v>
      </c>
      <c r="H19" s="66">
        <v>3218</v>
      </c>
      <c r="I19" t="s">
        <v>111</v>
      </c>
    </row>
    <row r="20" spans="1:9" x14ac:dyDescent="0.25">
      <c r="A20" s="6" t="s">
        <v>71</v>
      </c>
      <c r="B20" s="61">
        <f>597.5-59.15</f>
        <v>538.35</v>
      </c>
      <c r="C20" s="19"/>
      <c r="D20" s="8" t="s">
        <v>21</v>
      </c>
      <c r="E20" s="88" t="str">
        <f>+IF(B11&lt;=3,"3 CV et moins",IF(B11=4,"4 CV",IF(B11=5,"5 CV",IF(B11=6,"6 CV","7 CV et plus"))))</f>
        <v>7 CV et plus</v>
      </c>
      <c r="F20" s="19"/>
      <c r="G20" s="14" t="s">
        <v>41</v>
      </c>
      <c r="H20" s="66">
        <f>H10-(H10*(9900/45000))</f>
        <v>7020</v>
      </c>
      <c r="I20" t="s">
        <v>110</v>
      </c>
    </row>
    <row r="21" spans="1:9" x14ac:dyDescent="0.25">
      <c r="A21" s="6" t="s">
        <v>77</v>
      </c>
      <c r="B21" s="61">
        <v>1800</v>
      </c>
      <c r="C21" s="19"/>
      <c r="D21" s="14" t="s">
        <v>22</v>
      </c>
      <c r="E21" s="89">
        <f>IF(B30=33,"",IF(B30&gt;=20000,VLOOKUP(E20,'Sources infos'!$K$8:$P$12,6,0),IF(B30&gt;5000,VLOOKUP(E20,'Sources infos'!$K$8:$P$12,3,0)+VLOOKUP(E20,'Sources infos'!$K$8:$P$12,5,0),VLOOKUP(E20,'Sources infos'!$K$8:$P$12,2,0))))</f>
        <v>1435.374</v>
      </c>
      <c r="F21" s="19"/>
      <c r="G21" s="41" t="s">
        <v>50</v>
      </c>
      <c r="H21" s="65">
        <f>+B16*0.12*0.84</f>
        <v>4536</v>
      </c>
      <c r="I21" t="s">
        <v>95</v>
      </c>
    </row>
    <row r="22" spans="1:9" ht="15.75" thickBot="1" x14ac:dyDescent="0.3">
      <c r="A22" s="6" t="s">
        <v>88</v>
      </c>
      <c r="B22" s="61">
        <v>800</v>
      </c>
      <c r="C22" s="19"/>
      <c r="D22" s="15" t="s">
        <v>23</v>
      </c>
      <c r="E22" s="16">
        <f>+B30</f>
        <v>14400</v>
      </c>
      <c r="F22" s="19"/>
      <c r="G22" s="12" t="s">
        <v>49</v>
      </c>
      <c r="H22" s="23">
        <f>+(H19+H20+H21)/12</f>
        <v>1231.1666666666667</v>
      </c>
    </row>
    <row r="23" spans="1:9" ht="16.5" thickTop="1" thickBot="1" x14ac:dyDescent="0.3">
      <c r="A23" s="7" t="s">
        <v>74</v>
      </c>
      <c r="B23" s="68">
        <f>+B26*0.12*10*1.9</f>
        <v>3420</v>
      </c>
      <c r="C23" s="19"/>
      <c r="D23" s="17" t="s">
        <v>47</v>
      </c>
      <c r="E23" s="90">
        <f>IF(B30="","",IF(B30&gt;=20000,B30*VLOOKUP(E20,'Sources infos'!$K$8:$P$12,6,0),IF(B30&gt;5000,B30*VLOOKUP(E20,'Sources infos'!$K$8:$P$12,3,0)+VLOOKUP(E20,'Sources infos'!$K$8:$P$12,5,0),B30*VLOOKUP(E20,'Sources infos'!$K$8:$P$12,2,0))))</f>
        <v>6820.6</v>
      </c>
      <c r="F23" s="19"/>
      <c r="G23" s="39" t="s">
        <v>44</v>
      </c>
      <c r="H23" s="40">
        <f>+H11+H17*0.85+(H19+H21*0.85)/12</f>
        <v>1717.4333333333334</v>
      </c>
    </row>
    <row r="24" spans="1:9" ht="15.75" thickBot="1" x14ac:dyDescent="0.3">
      <c r="C24" s="19"/>
      <c r="D24" s="94" t="s">
        <v>115</v>
      </c>
      <c r="E24" s="95">
        <f>+IF(B13="AUTRE",E23*0.2,0)</f>
        <v>0</v>
      </c>
      <c r="H24" s="29"/>
    </row>
    <row r="25" spans="1:9" ht="15.75" thickBot="1" x14ac:dyDescent="0.3">
      <c r="A25" s="98" t="s">
        <v>55</v>
      </c>
      <c r="B25" s="99"/>
      <c r="C25" s="19"/>
      <c r="D25" s="35" t="s">
        <v>48</v>
      </c>
      <c r="E25" s="36">
        <f>(E23+E24)/12</f>
        <v>568.38333333333333</v>
      </c>
      <c r="F25" s="19"/>
    </row>
    <row r="26" spans="1:9" x14ac:dyDescent="0.25">
      <c r="A26" s="8" t="s">
        <v>16</v>
      </c>
      <c r="B26" s="56">
        <v>1500</v>
      </c>
      <c r="C26" s="19"/>
      <c r="F26" s="19"/>
      <c r="G26" s="1"/>
    </row>
    <row r="27" spans="1:9" ht="15.75" thickBot="1" x14ac:dyDescent="0.3">
      <c r="A27" s="9" t="s">
        <v>15</v>
      </c>
      <c r="B27" s="57">
        <f>+B26/5</f>
        <v>300</v>
      </c>
      <c r="C27" s="19"/>
      <c r="D27" s="50" t="s">
        <v>82</v>
      </c>
      <c r="E27" s="50"/>
      <c r="F27" s="19"/>
    </row>
    <row r="28" spans="1:9" ht="16.5" thickTop="1" thickBot="1" x14ac:dyDescent="0.3">
      <c r="A28" s="10" t="s">
        <v>18</v>
      </c>
      <c r="B28" s="5">
        <f>+B26-B27</f>
        <v>1200</v>
      </c>
      <c r="C28" s="19"/>
      <c r="F28" s="19"/>
    </row>
    <row r="29" spans="1:9" ht="15.75" thickBot="1" x14ac:dyDescent="0.3">
      <c r="A29" s="11" t="s">
        <v>17</v>
      </c>
      <c r="B29" s="58">
        <v>12</v>
      </c>
      <c r="C29" s="19"/>
      <c r="D29" s="51" t="s">
        <v>60</v>
      </c>
      <c r="E29" s="52"/>
      <c r="F29" s="19"/>
    </row>
    <row r="30" spans="1:9" ht="15.75" thickBot="1" x14ac:dyDescent="0.3">
      <c r="A30" s="12" t="s">
        <v>19</v>
      </c>
      <c r="B30" s="13">
        <f>+B28*B29</f>
        <v>14400</v>
      </c>
      <c r="C30" s="19"/>
      <c r="D30" s="8" t="s">
        <v>58</v>
      </c>
      <c r="E30" s="37">
        <f>+E25*(1-B34)</f>
        <v>483.12583333333333</v>
      </c>
      <c r="F30" s="19"/>
    </row>
    <row r="31" spans="1:9" ht="15.75" thickBot="1" x14ac:dyDescent="0.3">
      <c r="C31" s="19"/>
      <c r="D31" s="14" t="s">
        <v>59</v>
      </c>
      <c r="E31" s="38">
        <f>+(E17-E25)/(1-B33)*1.84*(1-B34)</f>
        <v>1526.6501904761908</v>
      </c>
      <c r="F31" s="19"/>
    </row>
    <row r="32" spans="1:9" ht="14.45" customHeight="1" thickBot="1" x14ac:dyDescent="0.3">
      <c r="A32" s="98" t="s">
        <v>112</v>
      </c>
      <c r="B32" s="99"/>
      <c r="C32" s="19"/>
      <c r="D32" s="39" t="s">
        <v>62</v>
      </c>
      <c r="E32" s="40">
        <f>+E30+E31</f>
        <v>2009.7760238095241</v>
      </c>
      <c r="F32" s="19"/>
      <c r="H32" s="19"/>
    </row>
    <row r="33" spans="1:6" ht="15.75" thickBot="1" x14ac:dyDescent="0.3">
      <c r="A33" s="8" t="s">
        <v>113</v>
      </c>
      <c r="B33" s="93">
        <v>0.3</v>
      </c>
      <c r="C33" s="19"/>
      <c r="D33" s="3"/>
      <c r="E33" s="3"/>
      <c r="F33" s="42"/>
    </row>
    <row r="34" spans="1:6" ht="15.75" thickBot="1" x14ac:dyDescent="0.3">
      <c r="A34" s="92" t="s">
        <v>114</v>
      </c>
      <c r="B34" s="91">
        <v>0.15</v>
      </c>
      <c r="C34" s="19"/>
      <c r="D34" s="51" t="s">
        <v>61</v>
      </c>
      <c r="E34" s="52"/>
      <c r="F34" s="42"/>
    </row>
    <row r="35" spans="1:6" x14ac:dyDescent="0.25">
      <c r="C35" s="19"/>
      <c r="D35" s="8" t="s">
        <v>58</v>
      </c>
      <c r="E35" s="37">
        <f>+E25*(1-B34)</f>
        <v>483.12583333333333</v>
      </c>
      <c r="F35" s="42"/>
    </row>
    <row r="36" spans="1:6" x14ac:dyDescent="0.25">
      <c r="C36" s="19"/>
      <c r="D36" s="14" t="s">
        <v>59</v>
      </c>
      <c r="E36" s="38">
        <f>(+E17-E25)/(1-B33)/(1-B34)</f>
        <v>1148.3753501400563</v>
      </c>
      <c r="F36" s="43"/>
    </row>
    <row r="37" spans="1:6" ht="15.75" thickBot="1" x14ac:dyDescent="0.3">
      <c r="C37" s="19"/>
      <c r="D37" s="39" t="s">
        <v>63</v>
      </c>
      <c r="E37" s="40">
        <f>+E35+E36</f>
        <v>1631.5011834733896</v>
      </c>
      <c r="F37" s="43"/>
    </row>
    <row r="38" spans="1:6" x14ac:dyDescent="0.25">
      <c r="C38" s="19"/>
      <c r="D38" s="1"/>
      <c r="E38" s="30"/>
      <c r="F38" s="43"/>
    </row>
    <row r="39" spans="1:6" x14ac:dyDescent="0.25">
      <c r="C39" s="19"/>
      <c r="D39" s="50" t="s">
        <v>83</v>
      </c>
      <c r="E39" s="50"/>
      <c r="F39" s="43"/>
    </row>
    <row r="40" spans="1:6" ht="15.75" thickBot="1" x14ac:dyDescent="0.3">
      <c r="C40" s="19"/>
      <c r="E40" s="30"/>
      <c r="F40" s="43"/>
    </row>
    <row r="41" spans="1:6" ht="15.75" thickBot="1" x14ac:dyDescent="0.3">
      <c r="C41" s="19"/>
      <c r="D41" s="51" t="s">
        <v>60</v>
      </c>
      <c r="E41" s="52"/>
      <c r="F41" s="43"/>
    </row>
    <row r="42" spans="1:6" x14ac:dyDescent="0.25">
      <c r="C42" s="19"/>
      <c r="D42" s="8" t="s">
        <v>58</v>
      </c>
      <c r="E42" s="37">
        <f>+E25*(1-B34)</f>
        <v>483.12583333333333</v>
      </c>
      <c r="F42" s="19"/>
    </row>
    <row r="43" spans="1:6" x14ac:dyDescent="0.25">
      <c r="C43" s="19"/>
      <c r="D43" s="14" t="s">
        <v>59</v>
      </c>
      <c r="E43" s="38">
        <f>+(E17-E25)/(1-B33)*1.45*(1-B34)</f>
        <v>1203.0667261904764</v>
      </c>
      <c r="F43" s="19"/>
    </row>
    <row r="44" spans="1:6" ht="15.75" thickBot="1" x14ac:dyDescent="0.3">
      <c r="C44" s="19"/>
      <c r="D44" s="39" t="s">
        <v>62</v>
      </c>
      <c r="E44" s="40">
        <f>+E42+E43</f>
        <v>1686.1925595238097</v>
      </c>
      <c r="F44" s="19"/>
    </row>
    <row r="45" spans="1:6" ht="15.75" thickBot="1" x14ac:dyDescent="0.3">
      <c r="C45" s="19"/>
      <c r="D45" s="3"/>
      <c r="E45" s="3"/>
      <c r="F45" s="19"/>
    </row>
    <row r="46" spans="1:6" ht="15.75" thickBot="1" x14ac:dyDescent="0.3">
      <c r="C46" s="19"/>
      <c r="D46" s="51" t="s">
        <v>61</v>
      </c>
      <c r="E46" s="52"/>
      <c r="F46" s="19"/>
    </row>
    <row r="47" spans="1:6" x14ac:dyDescent="0.25">
      <c r="C47" s="19"/>
      <c r="D47" s="8" t="s">
        <v>58</v>
      </c>
      <c r="E47" s="37">
        <f>+E25*(1-B34)</f>
        <v>483.12583333333333</v>
      </c>
      <c r="F47" s="19"/>
    </row>
    <row r="48" spans="1:6" x14ac:dyDescent="0.25">
      <c r="C48" s="19"/>
      <c r="D48" s="14" t="s">
        <v>59</v>
      </c>
      <c r="E48" s="38">
        <f>(+E17-E25)/(1-B33)/(1-B34)</f>
        <v>1148.3753501400563</v>
      </c>
      <c r="F48" t="s">
        <v>120</v>
      </c>
    </row>
    <row r="49" spans="3:6" ht="15.75" thickBot="1" x14ac:dyDescent="0.3">
      <c r="C49" s="19"/>
      <c r="D49" s="39" t="s">
        <v>63</v>
      </c>
      <c r="E49" s="40">
        <f>+E47+E48</f>
        <v>1631.5011834733896</v>
      </c>
      <c r="F49" s="19"/>
    </row>
    <row r="50" spans="3:6" x14ac:dyDescent="0.25">
      <c r="C50" s="19"/>
      <c r="D50" s="44"/>
      <c r="E50" s="44"/>
      <c r="F50" s="19"/>
    </row>
    <row r="51" spans="3:6" x14ac:dyDescent="0.25">
      <c r="C51" s="19"/>
      <c r="D51" s="44"/>
      <c r="E51" s="44"/>
      <c r="F51" s="19"/>
    </row>
    <row r="52" spans="3:6" x14ac:dyDescent="0.25">
      <c r="C52" s="19"/>
      <c r="D52" s="44"/>
      <c r="E52" s="44"/>
      <c r="F52" s="19"/>
    </row>
    <row r="53" spans="3:6" x14ac:dyDescent="0.25">
      <c r="C53" s="19"/>
      <c r="D53" s="44"/>
      <c r="E53" s="44"/>
      <c r="F53" s="19"/>
    </row>
    <row r="54" spans="3:6" x14ac:dyDescent="0.25">
      <c r="C54" s="19"/>
      <c r="D54" s="44"/>
      <c r="E54" s="44"/>
      <c r="F54" s="19"/>
    </row>
    <row r="55" spans="3:6" x14ac:dyDescent="0.25">
      <c r="C55" s="19"/>
      <c r="F55" s="19"/>
    </row>
  </sheetData>
  <mergeCells count="15">
    <mergeCell ref="A32:B32"/>
    <mergeCell ref="A25:B25"/>
    <mergeCell ref="G4:H4"/>
    <mergeCell ref="A1:H1"/>
    <mergeCell ref="A6:B6"/>
    <mergeCell ref="D19:E19"/>
    <mergeCell ref="G18:H18"/>
    <mergeCell ref="G6:H6"/>
    <mergeCell ref="G7:H7"/>
    <mergeCell ref="G12:H12"/>
    <mergeCell ref="A2:H2"/>
    <mergeCell ref="D6:E6"/>
    <mergeCell ref="D11:E11"/>
    <mergeCell ref="A4:B4"/>
    <mergeCell ref="D4:E4"/>
  </mergeCells>
  <dataValidations count="2">
    <dataValidation type="list" allowBlank="1" showInputMessage="1" showErrorMessage="1" sqref="B13" xr:uid="{ECADED33-9E85-4187-B464-7E0F6691D777}">
      <formula1>"GASOIL,ESSENCE,AUTRE"</formula1>
    </dataValidation>
    <dataValidation type="list" allowBlank="1" showInputMessage="1" showErrorMessage="1" sqref="B12" xr:uid="{9DE22355-3088-48E7-B91B-5D8790F109DC}">
      <formula1>"VU,VP"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635A1-921D-4615-868E-E3E3847B4A20}">
  <dimension ref="B1:P143"/>
  <sheetViews>
    <sheetView workbookViewId="0">
      <selection activeCell="M19" sqref="M19"/>
    </sheetView>
  </sheetViews>
  <sheetFormatPr baseColWidth="10" defaultRowHeight="15" x14ac:dyDescent="0.25"/>
  <cols>
    <col min="11" max="11" width="13.140625" customWidth="1"/>
  </cols>
  <sheetData>
    <row r="1" spans="2:16" x14ac:dyDescent="0.25">
      <c r="B1" s="96" t="s">
        <v>118</v>
      </c>
      <c r="C1" s="96"/>
      <c r="D1" s="96"/>
      <c r="E1" s="96"/>
      <c r="F1" s="97">
        <v>44768</v>
      </c>
    </row>
    <row r="3" spans="2:16" x14ac:dyDescent="0.25">
      <c r="B3" s="1" t="s">
        <v>25</v>
      </c>
    </row>
    <row r="4" spans="2:16" x14ac:dyDescent="0.25">
      <c r="B4" t="s">
        <v>24</v>
      </c>
    </row>
    <row r="5" spans="2:16" ht="15.75" thickBot="1" x14ac:dyDescent="0.3">
      <c r="B5" s="18" t="s">
        <v>26</v>
      </c>
    </row>
    <row r="6" spans="2:16" ht="16.5" thickBot="1" x14ac:dyDescent="0.3">
      <c r="K6" s="70"/>
      <c r="L6" s="114" t="s">
        <v>116</v>
      </c>
      <c r="M6" s="115"/>
      <c r="N6" s="115"/>
      <c r="O6" s="115"/>
      <c r="P6" s="116"/>
    </row>
    <row r="7" spans="2:16" ht="47.25" x14ac:dyDescent="0.25">
      <c r="K7" s="71" t="s">
        <v>100</v>
      </c>
      <c r="L7" s="72" t="s">
        <v>101</v>
      </c>
      <c r="M7" s="117" t="s">
        <v>102</v>
      </c>
      <c r="N7" s="118"/>
      <c r="O7" s="119"/>
      <c r="P7" s="73" t="s">
        <v>103</v>
      </c>
    </row>
    <row r="8" spans="2:16" x14ac:dyDescent="0.25">
      <c r="K8" s="74" t="s">
        <v>104</v>
      </c>
      <c r="L8" s="75">
        <v>0.502</v>
      </c>
      <c r="M8" s="76">
        <v>0.3</v>
      </c>
      <c r="N8" s="77" t="s">
        <v>105</v>
      </c>
      <c r="O8" s="78">
        <v>1007</v>
      </c>
      <c r="P8" s="79">
        <v>0.35</v>
      </c>
    </row>
    <row r="9" spans="2:16" x14ac:dyDescent="0.25">
      <c r="K9" s="80" t="s">
        <v>106</v>
      </c>
      <c r="L9" s="75">
        <v>0.57499999999999996</v>
      </c>
      <c r="M9" s="75">
        <v>0.32300000000000001</v>
      </c>
      <c r="N9" s="81" t="s">
        <v>105</v>
      </c>
      <c r="O9" s="82">
        <v>1262</v>
      </c>
      <c r="P9" s="79">
        <v>0.38700000000000001</v>
      </c>
    </row>
    <row r="10" spans="2:16" x14ac:dyDescent="0.25">
      <c r="K10" s="80" t="s">
        <v>107</v>
      </c>
      <c r="L10" s="75">
        <v>0.60299999999999998</v>
      </c>
      <c r="M10" s="75">
        <v>0.33900000000000002</v>
      </c>
      <c r="N10" s="81" t="s">
        <v>105</v>
      </c>
      <c r="O10" s="82">
        <v>1320</v>
      </c>
      <c r="P10" s="79">
        <v>0.40500000000000003</v>
      </c>
    </row>
    <row r="11" spans="2:16" x14ac:dyDescent="0.25">
      <c r="K11" s="80" t="s">
        <v>108</v>
      </c>
      <c r="L11" s="75">
        <v>0.63100000000000001</v>
      </c>
      <c r="M11" s="75">
        <v>0.35499999999999998</v>
      </c>
      <c r="N11" s="81" t="s">
        <v>105</v>
      </c>
      <c r="O11" s="82">
        <v>1382</v>
      </c>
      <c r="P11" s="79">
        <v>0.42499999999999999</v>
      </c>
    </row>
    <row r="12" spans="2:16" ht="15.75" thickBot="1" x14ac:dyDescent="0.3">
      <c r="K12" s="83" t="s">
        <v>20</v>
      </c>
      <c r="L12" s="84">
        <v>0.66100000000000003</v>
      </c>
      <c r="M12" s="84">
        <v>0.374</v>
      </c>
      <c r="N12" s="85" t="s">
        <v>105</v>
      </c>
      <c r="O12" s="86">
        <v>1435</v>
      </c>
      <c r="P12" s="87">
        <v>0.44600000000000001</v>
      </c>
    </row>
    <row r="25" spans="2:2" x14ac:dyDescent="0.25">
      <c r="B25" s="1" t="s">
        <v>32</v>
      </c>
    </row>
    <row r="26" spans="2:2" x14ac:dyDescent="0.25">
      <c r="B26" t="s">
        <v>33</v>
      </c>
    </row>
    <row r="46" spans="2:2" x14ac:dyDescent="0.25">
      <c r="B46" s="1" t="s">
        <v>42</v>
      </c>
    </row>
    <row r="47" spans="2:2" x14ac:dyDescent="0.25">
      <c r="B47" s="18" t="s">
        <v>43</v>
      </c>
    </row>
    <row r="111" spans="2:4" x14ac:dyDescent="0.25">
      <c r="B111" s="1" t="s">
        <v>96</v>
      </c>
    </row>
    <row r="112" spans="2:4" x14ac:dyDescent="0.25">
      <c r="B112" s="69" t="s">
        <v>97</v>
      </c>
      <c r="D112" t="s">
        <v>98</v>
      </c>
    </row>
    <row r="143" spans="2:4" x14ac:dyDescent="0.25">
      <c r="B143" s="69" t="s">
        <v>99</v>
      </c>
      <c r="D143" s="18" t="s">
        <v>109</v>
      </c>
    </row>
  </sheetData>
  <mergeCells count="2">
    <mergeCell ref="L6:P6"/>
    <mergeCell ref="M7:O7"/>
  </mergeCells>
  <hyperlinks>
    <hyperlink ref="B5" r:id="rId1" xr:uid="{C9EC0188-DE08-4D83-8F3A-2C4D9A989C74}"/>
    <hyperlink ref="B47" r:id="rId2" xr:uid="{79360A4D-9DE5-437D-A58F-CE78B56651EF}"/>
    <hyperlink ref="D143" r:id="rId3" xr:uid="{5ECE84BD-D722-44B2-9F5A-20806AE91AA8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Simulation location</vt:lpstr>
      <vt:lpstr>Simulation achat</vt:lpstr>
      <vt:lpstr>Sources infos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Doriane PELLAT</dc:creator>
  <cp:lastModifiedBy>Doriane PELLAT</cp:lastModifiedBy>
  <cp:lastPrinted>2022-01-21T08:16:50Z</cp:lastPrinted>
  <dcterms:created xsi:type="dcterms:W3CDTF">2022-01-20T10:37:16Z</dcterms:created>
  <dcterms:modified xsi:type="dcterms:W3CDTF">2022-07-26T16:13:07Z</dcterms:modified>
</cp:coreProperties>
</file>